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6e22cc1e916b003/Lesley Data/parish council/2022-2023/Finance/"/>
    </mc:Choice>
  </mc:AlternateContent>
  <xr:revisionPtr revIDLastSave="358" documentId="8_{68FBF74D-B042-4734-ABE2-3F7C9C94B9E1}" xr6:coauthVersionLast="47" xr6:coauthVersionMax="47" xr10:uidLastSave="{2BC9D11F-5AA0-4F43-8AE5-A2B8FC37F720}"/>
  <bookViews>
    <workbookView xWindow="-120" yWindow="-120" windowWidth="29040" windowHeight="15840" activeTab="3" xr2:uid="{00000000-000D-0000-FFFF-FFFF00000000}"/>
  </bookViews>
  <sheets>
    <sheet name="Income &amp; Expenditure Estimates" sheetId="1" r:id="rId1"/>
    <sheet name="Precept Increase 5%" sheetId="3" r:id="rId2"/>
    <sheet name="Tax Base" sheetId="4" r:id="rId3"/>
    <sheet name="Subscriptions &amp; Donations" sheetId="6" r:id="rId4"/>
  </sheets>
  <externalReferences>
    <externalReference r:id="rId5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0" i="1" l="1"/>
  <c r="K12" i="4"/>
  <c r="K11" i="4"/>
  <c r="K10" i="4"/>
  <c r="K9" i="4"/>
  <c r="K8" i="4"/>
  <c r="K7" i="4"/>
  <c r="K6" i="4"/>
  <c r="K5" i="4"/>
  <c r="D74" i="1"/>
  <c r="D51" i="1"/>
  <c r="D6" i="1"/>
  <c r="D32" i="3"/>
  <c r="B25" i="4"/>
  <c r="B26" i="4"/>
  <c r="B24" i="4"/>
  <c r="B23" i="4"/>
  <c r="B22" i="4"/>
  <c r="B21" i="4"/>
  <c r="B20" i="4"/>
  <c r="B19" i="4"/>
  <c r="E120" i="1"/>
  <c r="G15" i="1" l="1"/>
  <c r="D31" i="3" s="1"/>
  <c r="F15" i="1"/>
  <c r="E15" i="1"/>
  <c r="G12" i="1"/>
  <c r="F12" i="1"/>
  <c r="E12" i="1"/>
  <c r="D12" i="1"/>
  <c r="D15" i="1"/>
  <c r="D9" i="1"/>
  <c r="E127" i="1"/>
  <c r="F118" i="1"/>
  <c r="B26" i="6"/>
  <c r="B10" i="6"/>
  <c r="D27" i="3"/>
  <c r="D26" i="3"/>
  <c r="D18" i="3"/>
  <c r="D12" i="3"/>
  <c r="E122" i="1" l="1"/>
  <c r="E125" i="1" s="1"/>
  <c r="E129" i="1" s="1"/>
  <c r="D32" i="1"/>
  <c r="H12" i="4"/>
  <c r="E12" i="4"/>
  <c r="B12" i="4"/>
  <c r="H11" i="4"/>
  <c r="E11" i="4"/>
  <c r="B11" i="4"/>
  <c r="H10" i="4"/>
  <c r="E10" i="4"/>
  <c r="B10" i="4"/>
  <c r="H9" i="4"/>
  <c r="E9" i="4"/>
  <c r="B9" i="4"/>
  <c r="H8" i="4"/>
  <c r="E8" i="4"/>
  <c r="B8" i="4"/>
  <c r="H7" i="4"/>
  <c r="E7" i="4"/>
  <c r="B7" i="4"/>
  <c r="H6" i="4"/>
  <c r="E6" i="4"/>
  <c r="B6" i="4"/>
  <c r="H5" i="4"/>
  <c r="E5" i="4"/>
  <c r="B5" i="4"/>
  <c r="D19" i="3"/>
  <c r="D110" i="1"/>
  <c r="D113" i="1" s="1"/>
  <c r="G110" i="1"/>
  <c r="G81" i="1"/>
  <c r="D10" i="3" s="1"/>
  <c r="G74" i="1"/>
  <c r="D15" i="3" s="1"/>
  <c r="G70" i="1"/>
  <c r="D9" i="3" s="1"/>
  <c r="G65" i="1"/>
  <c r="D11" i="3" s="1"/>
  <c r="G51" i="1"/>
  <c r="D14" i="3" s="1"/>
  <c r="G46" i="1"/>
  <c r="D13" i="3" s="1"/>
  <c r="G30" i="1"/>
  <c r="G9" i="1"/>
  <c r="D29" i="3" s="1"/>
  <c r="G20" i="1"/>
  <c r="D28" i="3" s="1"/>
  <c r="E70" i="1"/>
  <c r="G6" i="1"/>
  <c r="D30" i="3" s="1"/>
  <c r="F110" i="1"/>
  <c r="E110" i="1"/>
  <c r="F81" i="1"/>
  <c r="F74" i="1"/>
  <c r="F70" i="1"/>
  <c r="F65" i="1"/>
  <c r="F51" i="1"/>
  <c r="F46" i="1"/>
  <c r="F30" i="1"/>
  <c r="F25" i="1"/>
  <c r="F20" i="1"/>
  <c r="F9" i="1"/>
  <c r="F6" i="1"/>
  <c r="F113" i="1" l="1"/>
  <c r="D120" i="1"/>
  <c r="F120" i="1" s="1"/>
  <c r="D17" i="3"/>
  <c r="D21" i="3" s="1"/>
  <c r="D35" i="3" s="1"/>
  <c r="G32" i="1" s="1"/>
  <c r="D126" i="1" s="1"/>
  <c r="G113" i="1"/>
  <c r="D127" i="1" s="1"/>
  <c r="F127" i="1" s="1"/>
  <c r="F32" i="1"/>
  <c r="D119" i="1" s="1"/>
  <c r="D122" i="1" s="1"/>
  <c r="E46" i="1"/>
  <c r="D125" i="1" l="1"/>
  <c r="D129" i="1" s="1"/>
  <c r="F129" i="1" s="1"/>
  <c r="F126" i="1"/>
  <c r="E81" i="1"/>
  <c r="F122" i="1" l="1"/>
  <c r="F125" i="1" s="1"/>
  <c r="E25" i="1" l="1"/>
  <c r="E20" i="1"/>
  <c r="E74" i="1" l="1"/>
  <c r="E65" i="1"/>
  <c r="E51" i="1"/>
  <c r="E9" i="1"/>
  <c r="E6" i="1"/>
  <c r="E32" i="1" l="1"/>
  <c r="E113" i="1"/>
</calcChain>
</file>

<file path=xl/sharedStrings.xml><?xml version="1.0" encoding="utf-8"?>
<sst xmlns="http://schemas.openxmlformats.org/spreadsheetml/2006/main" count="239" uniqueCount="198">
  <si>
    <t>4010</t>
  </si>
  <si>
    <t>Pavilion Rental Income (was 3200-100)</t>
  </si>
  <si>
    <t>4011</t>
  </si>
  <si>
    <t>Pavilion Misc Income Business Rate Grant (was 3205-100)</t>
  </si>
  <si>
    <t>4020</t>
  </si>
  <si>
    <t>Burial Ground Income  (was 3300-100)</t>
  </si>
  <si>
    <t>4030</t>
  </si>
  <si>
    <t>Skate Park Income (was 3500 - 100)</t>
  </si>
  <si>
    <t>4035</t>
  </si>
  <si>
    <t>Allotment Income (was 3600 - 100)</t>
  </si>
  <si>
    <t>4036</t>
  </si>
  <si>
    <t>Allotment Water (Hose Use) (was 3610 -100)</t>
  </si>
  <si>
    <t>4100</t>
  </si>
  <si>
    <t>Precept &amp; General Income (was 3950 - 100)</t>
  </si>
  <si>
    <t>4101</t>
  </si>
  <si>
    <t>Bank Interest Receivable</t>
  </si>
  <si>
    <t>7110</t>
  </si>
  <si>
    <t>Pavilion Cleaning (was 4200-100)</t>
  </si>
  <si>
    <t>7112</t>
  </si>
  <si>
    <t>Pavilion Window Cleaning (was 4205-100)</t>
  </si>
  <si>
    <t>7113</t>
  </si>
  <si>
    <t>Pavilion Maintenance (was 4210-100)</t>
  </si>
  <si>
    <t>7116</t>
  </si>
  <si>
    <t>Pavilion Electricity (was 4230-100)</t>
  </si>
  <si>
    <t>7117</t>
  </si>
  <si>
    <t>Pavilion Gas (was 4235-100)</t>
  </si>
  <si>
    <t>7125</t>
  </si>
  <si>
    <t>Burial Ground Maintenance  (was 4300-100)</t>
  </si>
  <si>
    <t>7127</t>
  </si>
  <si>
    <t>Burial Ground Rates (was 4320-100)</t>
  </si>
  <si>
    <t>7130</t>
  </si>
  <si>
    <t>Open Spaces - Maintenance (was 4410-100)</t>
  </si>
  <si>
    <t>7132</t>
  </si>
  <si>
    <t>Open Spaces Electricity (was 4420-100)</t>
  </si>
  <si>
    <t>7133</t>
  </si>
  <si>
    <t>CPA Equipment Inspections (was 4405-100)</t>
  </si>
  <si>
    <t>7134</t>
  </si>
  <si>
    <t>Open Spaces  Litter Pick (was 4400-100)</t>
  </si>
  <si>
    <t>7140</t>
  </si>
  <si>
    <t>Skate Park Inspection (was 4500-100)</t>
  </si>
  <si>
    <t>7143</t>
  </si>
  <si>
    <t>Skate Park Maintenance (was 4520-100)</t>
  </si>
  <si>
    <t>7145</t>
  </si>
  <si>
    <t>7150</t>
  </si>
  <si>
    <t>St George's Hall Maintenance (was 4750-100)</t>
  </si>
  <si>
    <t>7155</t>
  </si>
  <si>
    <t>Street Light Quoted Repairs (was 4920-100)</t>
  </si>
  <si>
    <t>7156</t>
  </si>
  <si>
    <t>Street Lighting Supply Charge  (was 4910-100)</t>
  </si>
  <si>
    <t>7158</t>
  </si>
  <si>
    <t>7165</t>
  </si>
  <si>
    <t>7168</t>
  </si>
  <si>
    <t>Annual Subscriptions</t>
  </si>
  <si>
    <t>7169</t>
  </si>
  <si>
    <t>Stationery (was 5500-100)</t>
  </si>
  <si>
    <t>7170</t>
  </si>
  <si>
    <t>Software (was 5510-100)</t>
  </si>
  <si>
    <t>7171</t>
  </si>
  <si>
    <t>PC/Printer Consumables (was 5520-100)</t>
  </si>
  <si>
    <t>7172</t>
  </si>
  <si>
    <t>Other Office Costs (was 5530-100)</t>
  </si>
  <si>
    <t>7175</t>
  </si>
  <si>
    <t>Telephone (was 5600-100)</t>
  </si>
  <si>
    <t>7176</t>
  </si>
  <si>
    <t>Email (was 5610-100)</t>
  </si>
  <si>
    <t>7177</t>
  </si>
  <si>
    <t>Post and Packing (was 5640-100)</t>
  </si>
  <si>
    <t>7178</t>
  </si>
  <si>
    <t>S137 (was 5660-100)</t>
  </si>
  <si>
    <t>7180</t>
  </si>
  <si>
    <t>Bank Charges (was 5680-100)</t>
  </si>
  <si>
    <t>7198</t>
  </si>
  <si>
    <t>Internal / External Audit  Fee (was 6970-100)</t>
  </si>
  <si>
    <t>7200</t>
  </si>
  <si>
    <t>Staff Salaries (was 5000-100)</t>
  </si>
  <si>
    <t>7201</t>
  </si>
  <si>
    <t>NI / PAYE (was 5030-100)</t>
  </si>
  <si>
    <t>7202</t>
  </si>
  <si>
    <t>Superannuation Contribution (was 5080-100)</t>
  </si>
  <si>
    <t>7203</t>
  </si>
  <si>
    <t>Office Allowance (was 5020-100)</t>
  </si>
  <si>
    <t>Precept</t>
  </si>
  <si>
    <t>Pavilion</t>
  </si>
  <si>
    <t>Burial Ground</t>
  </si>
  <si>
    <t>Open Spaces</t>
  </si>
  <si>
    <t>Allotments</t>
  </si>
  <si>
    <t>Street Lighting</t>
  </si>
  <si>
    <t>Other Parish Expenditure</t>
  </si>
  <si>
    <t>Highways</t>
  </si>
  <si>
    <t>West Street Car Park</t>
  </si>
  <si>
    <t>WPC Reserves</t>
  </si>
  <si>
    <t xml:space="preserve">Burial Ground </t>
  </si>
  <si>
    <t>Skate Park</t>
  </si>
  <si>
    <t>Total Income</t>
  </si>
  <si>
    <t>Bank Interest</t>
  </si>
  <si>
    <t xml:space="preserve">Precept </t>
  </si>
  <si>
    <t>Total Expenditure</t>
  </si>
  <si>
    <t>Street Light Replacement Project (Ear Marked Reserves)</t>
  </si>
  <si>
    <t>Ear Marked Reserves</t>
  </si>
  <si>
    <t>Contingency</t>
  </si>
  <si>
    <t>Mileage</t>
  </si>
  <si>
    <t>Open Spaces Trailer</t>
  </si>
  <si>
    <t>Allotment Refundable Deposits</t>
  </si>
  <si>
    <t>Local Plan Legal Expenses</t>
  </si>
  <si>
    <t>Website (was 5535-100)</t>
  </si>
  <si>
    <t>Insurance (was 5690-100)</t>
  </si>
  <si>
    <t>Pavilion Deposit Refunds (was 4210-100)</t>
  </si>
  <si>
    <t>Burial Ground Metered Water</t>
  </si>
  <si>
    <t>Skate Park Oper/Annual Insp (was 4510-100)</t>
  </si>
  <si>
    <t>Skate Park Insurance (was 4510-100)</t>
  </si>
  <si>
    <t>Allotment Maintenance (was 4600-100)</t>
  </si>
  <si>
    <t>Precept 2020-21</t>
  </si>
  <si>
    <t>Wayleave</t>
  </si>
  <si>
    <t>Pavilion Rates (was 4220-100)</t>
  </si>
  <si>
    <t>Pavilion Metered Water (was 4240-100)</t>
  </si>
  <si>
    <t>Purchases / Incl Salt Bins</t>
  </si>
  <si>
    <t>Winter Maintenance</t>
  </si>
  <si>
    <t>Allotment Metered Water (was 4610-100)</t>
  </si>
  <si>
    <t>Defibrillator</t>
  </si>
  <si>
    <t>CCTV Maintenance</t>
  </si>
  <si>
    <t>Training Costs</t>
  </si>
  <si>
    <t>KALC</t>
  </si>
  <si>
    <t>CPRE</t>
  </si>
  <si>
    <t>SLCC</t>
  </si>
  <si>
    <t>Kent Playing Fields</t>
  </si>
  <si>
    <t>Invicta Law</t>
  </si>
  <si>
    <t>Haymarket Publications (Planning Magazine)</t>
  </si>
  <si>
    <t>Allotment Deposit Refunds</t>
  </si>
  <si>
    <t>S137 Donations</t>
  </si>
  <si>
    <t>Arts Festival</t>
  </si>
  <si>
    <t>Wrotham Fireworks</t>
  </si>
  <si>
    <t>Citizens Advice</t>
  </si>
  <si>
    <t>Xmas Lights</t>
  </si>
  <si>
    <t>Kent Hospice</t>
  </si>
  <si>
    <t>Kent Mediation</t>
  </si>
  <si>
    <t>Royal British Legion (Wreath)</t>
  </si>
  <si>
    <t>Air Ambulance</t>
  </si>
  <si>
    <t>Y2 Crew</t>
  </si>
  <si>
    <t>Local Government Finance Act 1992 Council Tax and Non-Domestic Rating (Demand</t>
  </si>
  <si>
    <t xml:space="preserve">     Notices) (England) Regulations 1993 Regulation 5 (4) (B)</t>
  </si>
  <si>
    <t xml:space="preserve">Wrotham </t>
  </si>
  <si>
    <t>Parish Council Precept upon Tonbridge and Mailing Borough Council for the Financial</t>
  </si>
  <si>
    <t xml:space="preserve">Add: </t>
  </si>
  <si>
    <t xml:space="preserve">Allotments </t>
  </si>
  <si>
    <t xml:space="preserve">Open Spaces </t>
  </si>
  <si>
    <t>S137</t>
  </si>
  <si>
    <t>Cricket Pavilion</t>
  </si>
  <si>
    <t xml:space="preserve">Cemeteries &amp; Churchyards </t>
  </si>
  <si>
    <t>Footway Lighting</t>
  </si>
  <si>
    <t>Debt Charges</t>
  </si>
  <si>
    <t xml:space="preserve">Any Other Parish Expenditure Total </t>
  </si>
  <si>
    <t>Elections Costs</t>
  </si>
  <si>
    <t>Total (Gross Expenditure)</t>
  </si>
  <si>
    <t xml:space="preserve">Deduct: ~ </t>
  </si>
  <si>
    <t xml:space="preserve">Other Income (Please Specify) </t>
  </si>
  <si>
    <t>Burial Fees</t>
  </si>
  <si>
    <t>Hire of Pavilion</t>
  </si>
  <si>
    <t>Rechargeable accts - joint skatepark project</t>
  </si>
  <si>
    <t xml:space="preserve">Total Precept Requirement (Net Expenditure) </t>
  </si>
  <si>
    <t>Precept 2018-19</t>
  </si>
  <si>
    <t>Precept 2019-20</t>
  </si>
  <si>
    <t>Band A</t>
  </si>
  <si>
    <t>Band B</t>
  </si>
  <si>
    <t>Band C</t>
  </si>
  <si>
    <t>Band D</t>
  </si>
  <si>
    <t>Band E</t>
  </si>
  <si>
    <t>Band F</t>
  </si>
  <si>
    <t>Band G</t>
  </si>
  <si>
    <t>Band H</t>
  </si>
  <si>
    <t>Opening Balances as at 1st April 2021</t>
  </si>
  <si>
    <t>Working Capital</t>
  </si>
  <si>
    <t>Total Funds</t>
  </si>
  <si>
    <t>Estimated Income as at 31st March 2022</t>
  </si>
  <si>
    <t>Estimated Reserves as at 31st March 2022</t>
  </si>
  <si>
    <t>Counselling Centre</t>
  </si>
  <si>
    <t>Precept 2021-22</t>
  </si>
  <si>
    <t>Income Received To 31st December 21</t>
  </si>
  <si>
    <t>Estimated Outturn 2021-22</t>
  </si>
  <si>
    <t>2022-23 Estimates</t>
  </si>
  <si>
    <t>Matts BBQ Licence Judicial Review</t>
  </si>
  <si>
    <t>CPA Equipment (was 3415-100)</t>
  </si>
  <si>
    <t>CPA</t>
  </si>
  <si>
    <t>Expenditure To 31st December 21</t>
  </si>
  <si>
    <t>Open Spaces - CPA Inprovement (was 4415-100)</t>
  </si>
  <si>
    <t>Matts BBQ Licence Legal Expenses</t>
  </si>
  <si>
    <t>St George's Hall Contribution</t>
  </si>
  <si>
    <t>Parish Online (Mapping)</t>
  </si>
  <si>
    <t>Annual Subscriptions 2022-23</t>
  </si>
  <si>
    <t>Moto A20 HGV Lorry Pak</t>
  </si>
  <si>
    <t>Estimated Expendenture as at 31st March 2022</t>
  </si>
  <si>
    <t>2022-2023 Precept £114,871 (5%)</t>
  </si>
  <si>
    <t>Opening Balances as at 1st April 2022</t>
  </si>
  <si>
    <t>Estimated Income as at 31st March 2023</t>
  </si>
  <si>
    <t>Estimated Expenditure as at 31st March 2023</t>
  </si>
  <si>
    <t>Estimated Reserves as at 31st March 2023</t>
  </si>
  <si>
    <t>Precept 2022-23</t>
  </si>
  <si>
    <t>Year 2022 - 2023</t>
  </si>
  <si>
    <t>Sustrans (Kent Community Rail Partnership)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</si>
</sst>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£&quot;* #,##0.00_);_(&quot;£&quot;* \(#,##0.00\);_(&quot;£&quot;* &quot;-&quot;??_);_(@_)"/>
    <numFmt numFmtId="165" formatCode="&quot;£&quot;#,##0.00"/>
    <numFmt numFmtId="166" formatCode="&quot;£&quot;#,##0"/>
    <numFmt numFmtId="167" formatCode="[$£-809]#,##0"/>
  </numFmts>
  <fonts count="16">
    <font>
      <sz val="11"/>
      <name val="Calibri"/>
    </font>
    <font>
      <sz val="10"/>
      <name val="Tahoma"/>
      <family val="2"/>
    </font>
    <font>
      <sz val="10"/>
      <color rgb="FF000000"/>
      <name val="Tahoma"/>
      <family val="2"/>
    </font>
    <font>
      <b/>
      <u/>
      <sz val="10"/>
      <color rgb="FF000000"/>
      <name val="Tahoma"/>
      <family val="2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b/>
      <sz val="10"/>
      <name val="Tahoma"/>
      <family val="2"/>
    </font>
    <font>
      <b/>
      <u/>
      <sz val="10"/>
      <name val="Tahoma"/>
      <family val="2"/>
    </font>
    <font>
      <u val="singleAccounting"/>
      <sz val="10"/>
      <color rgb="FF000000"/>
      <name val="Tahoma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color rgb="FFFF0000"/>
      <name val="Tahoma"/>
      <family val="2"/>
    </font>
    <font>
      <u val="singleAccounting"/>
      <sz val="10"/>
      <name val="Tahoma"/>
      <family val="2"/>
    </font>
    <font>
      <b/>
      <u val="singleAccounting"/>
      <sz val="10"/>
      <color rgb="FF000000"/>
      <name val="Tahoma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 applyNumberFormat="1" applyFont="1"/>
    <xf numFmtId="0" fontId="1" fillId="0" borderId="0" xfId="0" applyNumberFormat="1" applyFont="1"/>
    <xf numFmtId="0" fontId="2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left"/>
    </xf>
    <xf numFmtId="0" fontId="6" fillId="0" borderId="0" xfId="0" applyNumberFormat="1" applyFont="1"/>
    <xf numFmtId="164" fontId="1" fillId="0" borderId="0" xfId="0" applyNumberFormat="1" applyFont="1"/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left"/>
    </xf>
    <xf numFmtId="164" fontId="6" fillId="0" borderId="0" xfId="0" applyNumberFormat="1" applyFont="1"/>
    <xf numFmtId="164" fontId="2" fillId="0" borderId="0" xfId="0" applyNumberFormat="1" applyFont="1" applyBorder="1" applyAlignment="1">
      <alignment horizontal="right"/>
    </xf>
    <xf numFmtId="164" fontId="8" fillId="0" borderId="0" xfId="0" applyNumberFormat="1" applyFont="1" applyAlignment="1">
      <alignment horizontal="right"/>
    </xf>
    <xf numFmtId="164" fontId="4" fillId="0" borderId="0" xfId="0" applyNumberFormat="1" applyFont="1" applyBorder="1" applyAlignment="1">
      <alignment horizontal="right"/>
    </xf>
    <xf numFmtId="2" fontId="1" fillId="0" borderId="0" xfId="0" applyNumberFormat="1" applyFont="1"/>
    <xf numFmtId="0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/>
    <xf numFmtId="0" fontId="7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8" fillId="0" borderId="0" xfId="0" applyNumberFormat="1" applyFont="1" applyBorder="1" applyAlignment="1">
      <alignment horizontal="right"/>
    </xf>
    <xf numFmtId="164" fontId="12" fillId="0" borderId="0" xfId="0" applyNumberFormat="1" applyFont="1"/>
    <xf numFmtId="2" fontId="12" fillId="0" borderId="0" xfId="0" applyNumberFormat="1" applyFont="1"/>
    <xf numFmtId="0" fontId="1" fillId="0" borderId="0" xfId="0" applyNumberFormat="1" applyFont="1" applyAlignment="1">
      <alignment wrapText="1"/>
    </xf>
    <xf numFmtId="0" fontId="3" fillId="0" borderId="0" xfId="0" applyNumberFormat="1" applyFont="1" applyAlignment="1">
      <alignment horizontal="center" vertical="center" wrapText="1"/>
    </xf>
    <xf numFmtId="164" fontId="1" fillId="0" borderId="0" xfId="0" applyNumberFormat="1" applyFont="1"/>
    <xf numFmtId="164" fontId="8" fillId="0" borderId="0" xfId="0" applyNumberFormat="1" applyFont="1" applyAlignment="1">
      <alignment horizontal="left"/>
    </xf>
    <xf numFmtId="164" fontId="13" fillId="0" borderId="0" xfId="0" applyNumberFormat="1" applyFont="1"/>
    <xf numFmtId="164" fontId="14" fillId="0" borderId="0" xfId="0" applyNumberFormat="1" applyFont="1" applyAlignment="1">
      <alignment horizontal="left"/>
    </xf>
    <xf numFmtId="164" fontId="13" fillId="0" borderId="0" xfId="0" applyNumberFormat="1" applyFont="1"/>
    <xf numFmtId="2" fontId="1" fillId="0" borderId="1" xfId="0" applyNumberFormat="1" applyFont="1" applyBorder="1"/>
    <xf numFmtId="164" fontId="2" fillId="0" borderId="0" xfId="0" applyNumberFormat="1" applyFont="1" applyAlignment="1">
      <alignment horizontal="right"/>
    </xf>
    <xf numFmtId="164" fontId="13" fillId="0" borderId="0" xfId="0" applyNumberFormat="1" applyFont="1" applyBorder="1"/>
    <xf numFmtId="164" fontId="1" fillId="0" borderId="1" xfId="0" applyNumberFormat="1" applyFont="1" applyBorder="1"/>
    <xf numFmtId="164" fontId="1" fillId="0" borderId="0" xfId="0" applyNumberFormat="1" applyFont="1" applyBorder="1"/>
    <xf numFmtId="164" fontId="6" fillId="0" borderId="0" xfId="0" applyNumberFormat="1" applyFont="1"/>
    <xf numFmtId="0" fontId="1" fillId="0" borderId="1" xfId="0" applyNumberFormat="1" applyFont="1" applyBorder="1"/>
    <xf numFmtId="0" fontId="0" fillId="0" borderId="0" xfId="0"/>
    <xf numFmtId="10" fontId="9" fillId="0" borderId="0" xfId="0" applyNumberFormat="1" applyFont="1" applyAlignment="1">
      <alignment horizontal="center"/>
    </xf>
    <xf numFmtId="9" fontId="0" fillId="0" borderId="0" xfId="0" applyNumberFormat="1" applyAlignment="1">
      <alignment horizontal="center"/>
    </xf>
    <xf numFmtId="0" fontId="9" fillId="0" borderId="0" xfId="0" applyFont="1" applyAlignment="1">
      <alignment horizontal="left"/>
    </xf>
    <xf numFmtId="164" fontId="9" fillId="0" borderId="0" xfId="0" applyNumberFormat="1" applyFont="1"/>
    <xf numFmtId="164" fontId="0" fillId="0" borderId="0" xfId="0" applyNumberFormat="1"/>
    <xf numFmtId="0" fontId="11" fillId="0" borderId="0" xfId="0" applyFont="1" applyAlignment="1">
      <alignment horizontal="left"/>
    </xf>
    <xf numFmtId="164" fontId="11" fillId="0" borderId="0" xfId="0" applyNumberFormat="1" applyFont="1"/>
    <xf numFmtId="166" fontId="0" fillId="0" borderId="0" xfId="0" applyNumberFormat="1" applyAlignment="1">
      <alignment horizontal="right"/>
    </xf>
    <xf numFmtId="9" fontId="0" fillId="0" borderId="0" xfId="0" applyNumberFormat="1"/>
    <xf numFmtId="167" fontId="0" fillId="0" borderId="0" xfId="0" applyNumberFormat="1"/>
    <xf numFmtId="166" fontId="0" fillId="0" borderId="0" xfId="0" applyNumberFormat="1"/>
    <xf numFmtId="2" fontId="0" fillId="0" borderId="0" xfId="0" applyNumberFormat="1"/>
    <xf numFmtId="0" fontId="2" fillId="0" borderId="0" xfId="0" applyFont="1" applyAlignment="1">
      <alignment horizontal="left"/>
    </xf>
    <xf numFmtId="164" fontId="0" fillId="0" borderId="0" xfId="0" applyNumberFormat="1" applyFont="1"/>
    <xf numFmtId="0" fontId="9" fillId="0" borderId="0" xfId="0" applyFont="1" applyBorder="1"/>
    <xf numFmtId="0" fontId="11" fillId="0" borderId="0" xfId="0" applyFont="1" applyBorder="1"/>
    <xf numFmtId="0" fontId="1" fillId="0" borderId="0" xfId="0" applyNumberFormat="1" applyFont="1" applyBorder="1"/>
    <xf numFmtId="4" fontId="9" fillId="0" borderId="0" xfId="0" applyNumberFormat="1" applyFont="1"/>
    <xf numFmtId="164" fontId="1" fillId="0" borderId="0" xfId="0" applyNumberFormat="1" applyFont="1" applyAlignment="1">
      <alignment horizontal="center"/>
    </xf>
    <xf numFmtId="164" fontId="6" fillId="0" borderId="0" xfId="0" applyNumberFormat="1" applyFont="1" applyBorder="1"/>
    <xf numFmtId="164" fontId="1" fillId="0" borderId="0" xfId="0" applyNumberFormat="1" applyFont="1" applyBorder="1" applyAlignment="1">
      <alignment horizontal="center"/>
    </xf>
    <xf numFmtId="165" fontId="9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6" fillId="0" borderId="0" xfId="0" applyNumberFormat="1" applyFont="1" applyBorder="1"/>
    <xf numFmtId="164" fontId="14" fillId="0" borderId="0" xfId="0" applyNumberFormat="1" applyFont="1" applyBorder="1" applyAlignment="1">
      <alignment horizontal="left"/>
    </xf>
    <xf numFmtId="0" fontId="15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pilg/Documents/Lesley%20Data/parish%20council/2020-2021/Finance/RevEst19-20&amp;20-21E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&amp; Expenditure"/>
      <sheetName val="Precept Increase 5%"/>
      <sheetName val="Tax Base"/>
    </sheetNames>
    <sheetDataSet>
      <sheetData sheetId="0">
        <row r="33">
          <cell r="L33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I136"/>
  <sheetViews>
    <sheetView view="pageLayout" topLeftCell="A106" zoomScaleNormal="100" workbookViewId="0">
      <selection activeCell="G90" sqref="G90"/>
    </sheetView>
  </sheetViews>
  <sheetFormatPr defaultRowHeight="12.75"/>
  <cols>
    <col min="1" max="1" width="5.140625" style="1" customWidth="1"/>
    <col min="2" max="2" width="14.85546875" style="1" customWidth="1"/>
    <col min="3" max="3" width="47.85546875" style="1" customWidth="1"/>
    <col min="4" max="4" width="15.28515625" style="1" customWidth="1"/>
    <col min="5" max="5" width="19.42578125" style="1" customWidth="1"/>
    <col min="6" max="6" width="17.5703125" style="1" customWidth="1"/>
    <col min="7" max="7" width="15.5703125" style="1" customWidth="1"/>
    <col min="8" max="8" width="4.140625" style="1" customWidth="1"/>
    <col min="9" max="9" width="13" style="1" customWidth="1"/>
    <col min="10" max="16384" width="9.140625" style="1"/>
  </cols>
  <sheetData>
    <row r="2" spans="2:9" ht="38.25">
      <c r="B2" s="3"/>
      <c r="C2" s="3"/>
      <c r="D2" s="23" t="s">
        <v>175</v>
      </c>
      <c r="E2" s="31" t="s">
        <v>176</v>
      </c>
      <c r="F2" s="22" t="s">
        <v>177</v>
      </c>
      <c r="G2" s="22" t="s">
        <v>178</v>
      </c>
      <c r="H2" s="16"/>
      <c r="I2" s="22"/>
    </row>
    <row r="3" spans="2:9">
      <c r="D3" s="30"/>
    </row>
    <row r="4" spans="2:9">
      <c r="B4" s="2" t="s">
        <v>0</v>
      </c>
      <c r="C4" s="2" t="s">
        <v>1</v>
      </c>
      <c r="D4" s="7">
        <v>10000</v>
      </c>
      <c r="E4" s="8">
        <v>8209.07</v>
      </c>
      <c r="F4" s="32">
        <v>11077</v>
      </c>
      <c r="G4" s="32">
        <v>12000</v>
      </c>
      <c r="H4" s="7"/>
      <c r="I4" s="7"/>
    </row>
    <row r="5" spans="2:9" ht="15">
      <c r="B5" s="2" t="s">
        <v>2</v>
      </c>
      <c r="C5" s="2" t="s">
        <v>3</v>
      </c>
      <c r="D5" s="33">
        <v>0</v>
      </c>
      <c r="E5" s="27">
        <v>0</v>
      </c>
      <c r="F5" s="39">
        <v>0</v>
      </c>
      <c r="G5" s="34">
        <v>0</v>
      </c>
      <c r="H5" s="7"/>
      <c r="I5" s="7"/>
    </row>
    <row r="6" spans="2:9">
      <c r="C6" s="6" t="s">
        <v>82</v>
      </c>
      <c r="D6" s="10">
        <f>SUM(D4:D5)</f>
        <v>10000</v>
      </c>
      <c r="E6" s="11">
        <f>SUM(E4:E5)</f>
        <v>8209.07</v>
      </c>
      <c r="F6" s="42">
        <f>SUM(F4:F5)</f>
        <v>11077</v>
      </c>
      <c r="G6" s="42">
        <f>SUM(G4:G5)</f>
        <v>12000</v>
      </c>
      <c r="H6" s="7"/>
      <c r="I6" s="15"/>
    </row>
    <row r="7" spans="2:9">
      <c r="C7" s="6"/>
      <c r="D7" s="10"/>
      <c r="E7" s="7"/>
      <c r="F7" s="32"/>
      <c r="G7" s="32"/>
      <c r="H7" s="7"/>
      <c r="I7" s="15"/>
    </row>
    <row r="8" spans="2:9" ht="15">
      <c r="B8" s="2" t="s">
        <v>4</v>
      </c>
      <c r="C8" s="2" t="s">
        <v>5</v>
      </c>
      <c r="D8" s="36">
        <v>2000</v>
      </c>
      <c r="E8" s="27">
        <v>2319.37</v>
      </c>
      <c r="F8" s="34">
        <v>2800</v>
      </c>
      <c r="G8" s="34">
        <v>2000</v>
      </c>
      <c r="H8" s="7"/>
      <c r="I8" s="15"/>
    </row>
    <row r="9" spans="2:9">
      <c r="B9" s="2"/>
      <c r="C9" s="4" t="s">
        <v>91</v>
      </c>
      <c r="D9" s="10">
        <f>SUM(D8)</f>
        <v>2000</v>
      </c>
      <c r="E9" s="25">
        <f>SUM(E8)</f>
        <v>2319.37</v>
      </c>
      <c r="F9" s="42">
        <f>SUM(F8)</f>
        <v>2800</v>
      </c>
      <c r="G9" s="42">
        <f>SUM(G8)</f>
        <v>2000</v>
      </c>
      <c r="H9" s="7"/>
      <c r="I9" s="15"/>
    </row>
    <row r="10" spans="2:9">
      <c r="B10" s="2"/>
      <c r="C10" s="4"/>
      <c r="D10" s="10"/>
      <c r="E10" s="8"/>
      <c r="F10" s="32"/>
      <c r="G10" s="32"/>
      <c r="H10" s="7"/>
      <c r="I10" s="15"/>
    </row>
    <row r="11" spans="2:9" ht="15">
      <c r="B11" s="2">
        <v>4026</v>
      </c>
      <c r="C11" s="2" t="s">
        <v>180</v>
      </c>
      <c r="D11" s="70">
        <v>0</v>
      </c>
      <c r="E11" s="27">
        <v>10000</v>
      </c>
      <c r="F11" s="36">
        <v>10000</v>
      </c>
      <c r="G11" s="36">
        <v>0</v>
      </c>
      <c r="H11" s="32"/>
      <c r="I11" s="15"/>
    </row>
    <row r="12" spans="2:9">
      <c r="B12" s="2"/>
      <c r="C12" s="4" t="s">
        <v>181</v>
      </c>
      <c r="D12" s="10">
        <f>SUM(D11)</f>
        <v>0</v>
      </c>
      <c r="E12" s="10">
        <f>SUM(E11)</f>
        <v>10000</v>
      </c>
      <c r="F12" s="10">
        <f>SUM(F11)</f>
        <v>10000</v>
      </c>
      <c r="G12" s="10">
        <f>SUM(G11)</f>
        <v>0</v>
      </c>
      <c r="H12" s="32"/>
      <c r="I12" s="15"/>
    </row>
    <row r="13" spans="2:9">
      <c r="B13" s="2"/>
      <c r="C13" s="4"/>
      <c r="D13" s="10"/>
      <c r="E13" s="38"/>
      <c r="F13" s="32"/>
      <c r="G13" s="32"/>
      <c r="H13" s="32"/>
      <c r="I13" s="15"/>
    </row>
    <row r="14" spans="2:9" ht="15">
      <c r="B14" s="2" t="s">
        <v>6</v>
      </c>
      <c r="C14" s="2" t="s">
        <v>7</v>
      </c>
      <c r="D14" s="36">
        <v>6330</v>
      </c>
      <c r="E14" s="27">
        <v>1401.78</v>
      </c>
      <c r="F14" s="34">
        <v>4000</v>
      </c>
      <c r="G14" s="34">
        <v>6000</v>
      </c>
      <c r="H14" s="7"/>
      <c r="I14" s="15"/>
    </row>
    <row r="15" spans="2:9">
      <c r="B15" s="2"/>
      <c r="C15" s="4" t="s">
        <v>92</v>
      </c>
      <c r="D15" s="10">
        <f>SUM(D14)</f>
        <v>6330</v>
      </c>
      <c r="E15" s="10">
        <f>SUM(E14)</f>
        <v>1401.78</v>
      </c>
      <c r="F15" s="10">
        <f>SUM(F14)</f>
        <v>4000</v>
      </c>
      <c r="G15" s="10">
        <f>SUM(G14)</f>
        <v>6000</v>
      </c>
      <c r="H15" s="7"/>
      <c r="I15" s="15"/>
    </row>
    <row r="16" spans="2:9">
      <c r="B16" s="2"/>
      <c r="C16" s="4"/>
      <c r="D16" s="10"/>
      <c r="E16" s="8"/>
      <c r="F16" s="32"/>
      <c r="G16" s="32"/>
      <c r="H16" s="7"/>
      <c r="I16" s="15"/>
    </row>
    <row r="17" spans="2:9">
      <c r="B17" s="2" t="s">
        <v>8</v>
      </c>
      <c r="C17" s="2" t="s">
        <v>9</v>
      </c>
      <c r="D17" s="7">
        <v>650</v>
      </c>
      <c r="E17" s="8">
        <v>668.96</v>
      </c>
      <c r="F17" s="32">
        <v>670</v>
      </c>
      <c r="G17" s="32">
        <v>700</v>
      </c>
      <c r="H17" s="7"/>
      <c r="I17" s="15"/>
    </row>
    <row r="18" spans="2:9">
      <c r="B18" s="2" t="s">
        <v>10</v>
      </c>
      <c r="C18" s="2" t="s">
        <v>11</v>
      </c>
      <c r="D18" s="9">
        <v>230</v>
      </c>
      <c r="E18" s="12">
        <v>252</v>
      </c>
      <c r="F18" s="32">
        <v>252</v>
      </c>
      <c r="G18" s="32">
        <v>250</v>
      </c>
      <c r="H18" s="7"/>
      <c r="I18" s="15"/>
    </row>
    <row r="19" spans="2:9" ht="15">
      <c r="B19" s="2">
        <v>4037</v>
      </c>
      <c r="C19" s="2" t="s">
        <v>102</v>
      </c>
      <c r="D19" s="35">
        <v>0</v>
      </c>
      <c r="E19" s="27">
        <v>350</v>
      </c>
      <c r="F19" s="34">
        <v>350</v>
      </c>
      <c r="G19" s="34">
        <v>0</v>
      </c>
      <c r="H19" s="7"/>
      <c r="I19" s="15"/>
    </row>
    <row r="20" spans="2:9">
      <c r="B20" s="2"/>
      <c r="C20" s="4" t="s">
        <v>85</v>
      </c>
      <c r="D20" s="10">
        <v>750</v>
      </c>
      <c r="E20" s="25">
        <f>SUM(E17:E19)</f>
        <v>1270.96</v>
      </c>
      <c r="F20" s="42">
        <f>SUM(F17:F19)</f>
        <v>1272</v>
      </c>
      <c r="G20" s="42">
        <f>SUM(G17:G19)</f>
        <v>950</v>
      </c>
      <c r="H20" s="7"/>
      <c r="I20" s="15"/>
    </row>
    <row r="21" spans="2:9">
      <c r="B21" s="2"/>
      <c r="C21" s="4"/>
      <c r="D21" s="10"/>
      <c r="E21" s="25"/>
      <c r="F21" s="42"/>
      <c r="G21" s="42"/>
      <c r="H21" s="32"/>
      <c r="I21" s="15"/>
    </row>
    <row r="22" spans="2:9">
      <c r="B22" s="2">
        <v>4046</v>
      </c>
      <c r="C22" s="4" t="s">
        <v>185</v>
      </c>
      <c r="D22" s="10">
        <v>1000</v>
      </c>
      <c r="E22" s="25">
        <v>0</v>
      </c>
      <c r="F22" s="42">
        <v>1200</v>
      </c>
      <c r="G22" s="42">
        <v>1000</v>
      </c>
      <c r="H22" s="32"/>
      <c r="I22" s="15"/>
    </row>
    <row r="23" spans="2:9">
      <c r="B23" s="2"/>
      <c r="C23" s="4"/>
      <c r="D23" s="10"/>
      <c r="E23" s="8"/>
      <c r="F23" s="32"/>
      <c r="G23" s="32"/>
      <c r="H23" s="7"/>
      <c r="I23" s="15"/>
    </row>
    <row r="24" spans="2:9" ht="15">
      <c r="B24" s="2" t="s">
        <v>12</v>
      </c>
      <c r="C24" s="2" t="s">
        <v>13</v>
      </c>
      <c r="D24" s="10"/>
      <c r="E24" s="27">
        <v>108276</v>
      </c>
      <c r="F24" s="40">
        <v>108276</v>
      </c>
      <c r="G24" s="32"/>
      <c r="H24" s="7"/>
      <c r="I24" s="15"/>
    </row>
    <row r="25" spans="2:9">
      <c r="B25" s="2"/>
      <c r="C25" s="4" t="s">
        <v>95</v>
      </c>
      <c r="D25" s="10">
        <v>108276</v>
      </c>
      <c r="E25" s="25">
        <f>SUM(E24)</f>
        <v>108276</v>
      </c>
      <c r="F25" s="42">
        <f>SUM(F24)</f>
        <v>108276</v>
      </c>
      <c r="G25" s="42">
        <v>114871</v>
      </c>
      <c r="H25" s="7"/>
      <c r="I25" s="15"/>
    </row>
    <row r="26" spans="2:9">
      <c r="B26" s="57">
        <v>4080</v>
      </c>
      <c r="C26" s="57" t="s">
        <v>179</v>
      </c>
      <c r="D26" s="10"/>
      <c r="E26" s="26">
        <v>1077</v>
      </c>
      <c r="F26" s="26">
        <v>1077</v>
      </c>
      <c r="G26" s="32"/>
      <c r="H26" s="7"/>
      <c r="I26" s="15"/>
    </row>
    <row r="27" spans="2:9">
      <c r="D27" s="11"/>
      <c r="E27" s="7"/>
      <c r="H27" s="7"/>
      <c r="I27" s="15"/>
    </row>
    <row r="28" spans="2:9">
      <c r="B28" s="2" t="s">
        <v>14</v>
      </c>
      <c r="C28" s="2" t="s">
        <v>15</v>
      </c>
      <c r="D28" s="9">
        <v>100</v>
      </c>
      <c r="E28" s="12">
        <v>30.06</v>
      </c>
      <c r="F28" s="32">
        <v>37</v>
      </c>
      <c r="G28" s="32">
        <v>40</v>
      </c>
      <c r="H28" s="7"/>
      <c r="I28" s="15"/>
    </row>
    <row r="29" spans="2:9" ht="15">
      <c r="B29" s="2"/>
      <c r="C29" s="2" t="s">
        <v>112</v>
      </c>
      <c r="D29" s="33">
        <v>1.1000000000000001</v>
      </c>
      <c r="E29" s="27">
        <v>1.1499999999999999</v>
      </c>
      <c r="F29" s="34">
        <v>1.1499999999999999</v>
      </c>
      <c r="G29" s="34">
        <v>1.1499999999999999</v>
      </c>
      <c r="H29" s="7"/>
      <c r="I29" s="15"/>
    </row>
    <row r="30" spans="2:9">
      <c r="B30" s="2"/>
      <c r="C30" s="4" t="s">
        <v>94</v>
      </c>
      <c r="D30" s="10">
        <v>408</v>
      </c>
      <c r="E30" s="14">
        <f>SUM(E28:E29)</f>
        <v>31.209999999999997</v>
      </c>
      <c r="F30" s="42">
        <f>SUM(F28:F29)</f>
        <v>38.15</v>
      </c>
      <c r="G30" s="42">
        <f>SUM(G28:G29)</f>
        <v>41.15</v>
      </c>
      <c r="H30" s="7"/>
      <c r="I30" s="15"/>
    </row>
    <row r="31" spans="2:9">
      <c r="B31" s="2"/>
      <c r="C31" s="2"/>
      <c r="D31" s="10"/>
      <c r="E31" s="7"/>
      <c r="F31" s="38"/>
      <c r="G31" s="32"/>
      <c r="H31" s="17"/>
      <c r="I31" s="22"/>
    </row>
    <row r="32" spans="2:9">
      <c r="B32" s="2"/>
      <c r="C32" s="4" t="s">
        <v>93</v>
      </c>
      <c r="D32" s="11">
        <f>SUM(D25:D26)+D30+D20+D15+D9+D6</f>
        <v>127764</v>
      </c>
      <c r="E32" s="11">
        <f>SUM(E25:E26)+E30+E20+E15+E9+E6</f>
        <v>122585.39000000001</v>
      </c>
      <c r="F32" s="11">
        <f>SUM(F25:F26)+F30+F20+F15+F9+F6</f>
        <v>128540.15</v>
      </c>
      <c r="G32" s="11">
        <f>SUM(G25:G26)+G30+G20+G15+G9+G6</f>
        <v>135862.15</v>
      </c>
      <c r="H32" s="7"/>
      <c r="I32" s="15"/>
    </row>
    <row r="33" spans="2:9">
      <c r="B33" s="2"/>
      <c r="C33" s="2"/>
      <c r="D33" s="9"/>
      <c r="E33" s="7"/>
      <c r="H33" s="7"/>
      <c r="I33" s="15"/>
    </row>
    <row r="34" spans="2:9">
      <c r="B34" s="2"/>
      <c r="C34" s="2"/>
      <c r="D34" s="9"/>
      <c r="E34" s="7"/>
      <c r="H34" s="7"/>
      <c r="I34" s="15"/>
    </row>
    <row r="35" spans="2:9">
      <c r="B35" s="2"/>
      <c r="C35" s="2"/>
      <c r="D35" s="9"/>
      <c r="E35" s="7"/>
      <c r="H35" s="7"/>
      <c r="I35" s="15"/>
    </row>
    <row r="36" spans="2:9" ht="25.5">
      <c r="B36" s="2"/>
      <c r="C36" s="2"/>
      <c r="D36" s="23" t="s">
        <v>81</v>
      </c>
      <c r="E36" s="31" t="s">
        <v>182</v>
      </c>
      <c r="H36" s="7"/>
      <c r="I36" s="15"/>
    </row>
    <row r="37" spans="2:9">
      <c r="B37" s="2"/>
      <c r="C37" s="2"/>
      <c r="D37" s="9"/>
      <c r="E37" s="7"/>
      <c r="H37" s="7"/>
      <c r="I37" s="15"/>
    </row>
    <row r="38" spans="2:9">
      <c r="B38" s="2" t="s">
        <v>16</v>
      </c>
      <c r="C38" s="2" t="s">
        <v>17</v>
      </c>
      <c r="D38" s="9">
        <v>5500</v>
      </c>
      <c r="E38" s="8">
        <v>2915.45</v>
      </c>
      <c r="F38" s="32">
        <v>5000</v>
      </c>
      <c r="G38" s="32">
        <v>7000</v>
      </c>
      <c r="H38" s="7"/>
      <c r="I38" s="15"/>
    </row>
    <row r="39" spans="2:9">
      <c r="B39" s="2" t="s">
        <v>18</v>
      </c>
      <c r="C39" s="2" t="s">
        <v>19</v>
      </c>
      <c r="D39" s="9">
        <v>60</v>
      </c>
      <c r="E39" s="8">
        <v>30</v>
      </c>
      <c r="F39" s="32">
        <v>60</v>
      </c>
      <c r="G39" s="32">
        <v>60</v>
      </c>
      <c r="H39" s="7"/>
      <c r="I39" s="15"/>
    </row>
    <row r="40" spans="2:9">
      <c r="B40" s="2" t="s">
        <v>20</v>
      </c>
      <c r="C40" s="2" t="s">
        <v>21</v>
      </c>
      <c r="D40" s="9">
        <v>4200</v>
      </c>
      <c r="E40" s="8">
        <v>2887.53</v>
      </c>
      <c r="F40" s="32">
        <v>3500</v>
      </c>
      <c r="G40" s="32">
        <v>5000</v>
      </c>
      <c r="H40" s="7"/>
      <c r="I40" s="15"/>
    </row>
    <row r="41" spans="2:9">
      <c r="B41" s="2">
        <v>7114</v>
      </c>
      <c r="C41" s="2" t="s">
        <v>113</v>
      </c>
      <c r="D41" s="9">
        <v>0</v>
      </c>
      <c r="E41" s="26">
        <v>0</v>
      </c>
      <c r="F41" s="32">
        <v>0</v>
      </c>
      <c r="G41" s="32">
        <v>0</v>
      </c>
      <c r="H41" s="7"/>
      <c r="I41" s="15"/>
    </row>
    <row r="42" spans="2:9">
      <c r="B42" s="2">
        <v>7115</v>
      </c>
      <c r="C42" s="2" t="s">
        <v>106</v>
      </c>
      <c r="D42" s="9">
        <v>0</v>
      </c>
      <c r="E42" s="26">
        <v>359.5</v>
      </c>
      <c r="F42" s="32">
        <v>359.55</v>
      </c>
      <c r="G42" s="32">
        <v>0</v>
      </c>
      <c r="H42" s="7"/>
      <c r="I42" s="15"/>
    </row>
    <row r="43" spans="2:9">
      <c r="B43" s="2" t="s">
        <v>22</v>
      </c>
      <c r="C43" s="2" t="s">
        <v>23</v>
      </c>
      <c r="D43" s="9">
        <v>1540</v>
      </c>
      <c r="E43" s="8">
        <v>1005.71</v>
      </c>
      <c r="F43" s="32">
        <v>1500</v>
      </c>
      <c r="G43" s="32">
        <v>1700</v>
      </c>
      <c r="H43" s="7"/>
      <c r="I43" s="15"/>
    </row>
    <row r="44" spans="2:9">
      <c r="B44" s="2" t="s">
        <v>24</v>
      </c>
      <c r="C44" s="2" t="s">
        <v>25</v>
      </c>
      <c r="D44" s="9">
        <v>1000</v>
      </c>
      <c r="E44" s="12">
        <v>460.94</v>
      </c>
      <c r="F44" s="32">
        <v>800</v>
      </c>
      <c r="G44" s="32">
        <v>1000</v>
      </c>
      <c r="H44" s="7"/>
      <c r="I44" s="15"/>
    </row>
    <row r="45" spans="2:9" ht="15">
      <c r="B45" s="2">
        <v>7118</v>
      </c>
      <c r="C45" s="2" t="s">
        <v>114</v>
      </c>
      <c r="D45" s="33">
        <v>600</v>
      </c>
      <c r="E45" s="27">
        <v>489.01</v>
      </c>
      <c r="F45" s="34">
        <v>600</v>
      </c>
      <c r="G45" s="34">
        <v>600</v>
      </c>
      <c r="H45" s="7"/>
      <c r="I45" s="15"/>
    </row>
    <row r="46" spans="2:9">
      <c r="B46" s="2"/>
      <c r="C46" s="4" t="s">
        <v>82</v>
      </c>
      <c r="D46" s="10">
        <v>13100</v>
      </c>
      <c r="E46" s="25">
        <f>SUM(E38:E45)</f>
        <v>8148.1399999999994</v>
      </c>
      <c r="F46" s="42">
        <f>SUM(F38:F45)</f>
        <v>11819.55</v>
      </c>
      <c r="G46" s="42">
        <f>SUM(G38:G45)</f>
        <v>15360</v>
      </c>
      <c r="H46" s="7"/>
      <c r="I46" s="15"/>
    </row>
    <row r="47" spans="2:9">
      <c r="B47" s="2"/>
      <c r="C47" s="4"/>
      <c r="D47" s="10"/>
      <c r="E47" s="8"/>
      <c r="F47" s="32"/>
      <c r="G47" s="32"/>
      <c r="H47" s="7"/>
      <c r="I47" s="15"/>
    </row>
    <row r="48" spans="2:9">
      <c r="B48" s="2" t="s">
        <v>26</v>
      </c>
      <c r="C48" s="2" t="s">
        <v>27</v>
      </c>
      <c r="D48" s="9">
        <v>11000</v>
      </c>
      <c r="E48" s="8">
        <v>7343.1</v>
      </c>
      <c r="F48" s="32">
        <v>9000</v>
      </c>
      <c r="G48" s="32">
        <v>11000</v>
      </c>
      <c r="H48" s="7"/>
      <c r="I48" s="15"/>
    </row>
    <row r="49" spans="2:9">
      <c r="B49" s="2">
        <v>7126</v>
      </c>
      <c r="C49" s="2" t="s">
        <v>107</v>
      </c>
      <c r="D49" s="9">
        <v>90</v>
      </c>
      <c r="E49" s="26">
        <v>73.760000000000005</v>
      </c>
      <c r="F49" s="32">
        <v>90</v>
      </c>
      <c r="G49" s="32">
        <v>90</v>
      </c>
      <c r="H49" s="7"/>
      <c r="I49" s="15"/>
    </row>
    <row r="50" spans="2:9" ht="15">
      <c r="B50" s="2" t="s">
        <v>28</v>
      </c>
      <c r="C50" s="2" t="s">
        <v>29</v>
      </c>
      <c r="D50" s="33">
        <v>600</v>
      </c>
      <c r="E50" s="27">
        <v>469.06</v>
      </c>
      <c r="F50" s="34">
        <v>600</v>
      </c>
      <c r="G50" s="34">
        <v>660</v>
      </c>
      <c r="H50" s="7"/>
      <c r="I50" s="15"/>
    </row>
    <row r="51" spans="2:9">
      <c r="B51" s="2"/>
      <c r="C51" s="4" t="s">
        <v>83</v>
      </c>
      <c r="D51" s="10">
        <f>SUM(D48:D50)</f>
        <v>11690</v>
      </c>
      <c r="E51" s="25">
        <f>SUM(E48:E50)</f>
        <v>7885.920000000001</v>
      </c>
      <c r="F51" s="42">
        <f>SUM(F48:F50)</f>
        <v>9690</v>
      </c>
      <c r="G51" s="42">
        <f>SUM(G48:G50)</f>
        <v>11750</v>
      </c>
      <c r="H51" s="7"/>
      <c r="I51" s="15"/>
    </row>
    <row r="52" spans="2:9">
      <c r="B52" s="2"/>
      <c r="C52" s="4"/>
      <c r="D52" s="10"/>
      <c r="E52" s="8"/>
      <c r="F52" s="32"/>
      <c r="G52" s="32"/>
      <c r="H52" s="7"/>
      <c r="I52" s="15"/>
    </row>
    <row r="53" spans="2:9">
      <c r="B53" s="2" t="s">
        <v>30</v>
      </c>
      <c r="C53" s="2" t="s">
        <v>31</v>
      </c>
      <c r="D53" s="9">
        <v>19000</v>
      </c>
      <c r="E53" s="8">
        <v>6444.63</v>
      </c>
      <c r="F53" s="32">
        <v>10000</v>
      </c>
      <c r="G53" s="32">
        <v>15000</v>
      </c>
      <c r="H53" s="7"/>
      <c r="I53" s="15"/>
    </row>
    <row r="54" spans="2:9">
      <c r="B54" s="2">
        <v>7131</v>
      </c>
      <c r="C54" s="2" t="s">
        <v>183</v>
      </c>
      <c r="D54" s="9"/>
      <c r="E54" s="38">
        <v>5321.85</v>
      </c>
      <c r="F54" s="32">
        <v>10700</v>
      </c>
      <c r="G54" s="32">
        <v>0</v>
      </c>
      <c r="H54" s="32"/>
      <c r="I54" s="15"/>
    </row>
    <row r="55" spans="2:9">
      <c r="B55" s="2" t="s">
        <v>32</v>
      </c>
      <c r="C55" s="2" t="s">
        <v>33</v>
      </c>
      <c r="D55" s="9">
        <v>360</v>
      </c>
      <c r="E55" s="8">
        <v>69.53</v>
      </c>
      <c r="F55" s="32">
        <v>120</v>
      </c>
      <c r="G55" s="32">
        <v>200</v>
      </c>
      <c r="H55" s="7"/>
      <c r="I55" s="15"/>
    </row>
    <row r="56" spans="2:9">
      <c r="B56" s="2" t="s">
        <v>34</v>
      </c>
      <c r="C56" s="2" t="s">
        <v>35</v>
      </c>
      <c r="D56" s="9">
        <v>1560</v>
      </c>
      <c r="E56" s="8">
        <v>448.5</v>
      </c>
      <c r="F56" s="32">
        <v>700</v>
      </c>
      <c r="G56" s="32">
        <v>1000</v>
      </c>
      <c r="H56" s="7"/>
      <c r="I56" s="15"/>
    </row>
    <row r="57" spans="2:9">
      <c r="B57" s="2" t="s">
        <v>36</v>
      </c>
      <c r="C57" s="2" t="s">
        <v>37</v>
      </c>
      <c r="D57" s="9">
        <v>2500</v>
      </c>
      <c r="E57" s="8">
        <v>2002.98</v>
      </c>
      <c r="F57" s="32">
        <v>2500</v>
      </c>
      <c r="G57" s="32">
        <v>2500</v>
      </c>
      <c r="H57" s="7"/>
      <c r="I57" s="15"/>
    </row>
    <row r="58" spans="2:9">
      <c r="B58" s="2">
        <v>7135</v>
      </c>
      <c r="C58" s="2" t="s">
        <v>101</v>
      </c>
      <c r="D58" s="9">
        <v>150</v>
      </c>
      <c r="E58" s="8">
        <v>0</v>
      </c>
      <c r="F58" s="32">
        <v>150</v>
      </c>
      <c r="G58" s="32">
        <v>150</v>
      </c>
      <c r="H58" s="7"/>
      <c r="I58" s="15"/>
    </row>
    <row r="59" spans="2:9">
      <c r="B59" s="2">
        <v>7136</v>
      </c>
      <c r="C59" s="2" t="s">
        <v>119</v>
      </c>
      <c r="D59" s="9">
        <v>200</v>
      </c>
      <c r="E59" s="26">
        <v>123.75</v>
      </c>
      <c r="F59" s="32">
        <v>170</v>
      </c>
      <c r="G59" s="32">
        <v>200</v>
      </c>
      <c r="H59" s="7"/>
      <c r="I59" s="15"/>
    </row>
    <row r="60" spans="2:9">
      <c r="B60" s="2">
        <v>7137</v>
      </c>
      <c r="C60" s="2" t="s">
        <v>118</v>
      </c>
      <c r="D60" s="9">
        <v>100</v>
      </c>
      <c r="E60" s="26">
        <v>0</v>
      </c>
      <c r="F60" s="32">
        <v>100</v>
      </c>
      <c r="G60" s="32">
        <v>100</v>
      </c>
      <c r="H60" s="7"/>
      <c r="I60" s="15"/>
    </row>
    <row r="61" spans="2:9">
      <c r="B61" s="2" t="s">
        <v>38</v>
      </c>
      <c r="C61" s="2" t="s">
        <v>39</v>
      </c>
      <c r="D61" s="9">
        <v>1400</v>
      </c>
      <c r="E61" s="8">
        <v>905.08</v>
      </c>
      <c r="F61" s="32">
        <v>1400</v>
      </c>
      <c r="G61" s="32">
        <v>1400</v>
      </c>
      <c r="H61" s="7"/>
      <c r="I61" s="15"/>
    </row>
    <row r="62" spans="2:9">
      <c r="B62" s="2">
        <v>7141</v>
      </c>
      <c r="C62" s="2" t="s">
        <v>108</v>
      </c>
      <c r="D62" s="9">
        <v>550</v>
      </c>
      <c r="E62" s="26">
        <v>116</v>
      </c>
      <c r="F62" s="32">
        <v>500</v>
      </c>
      <c r="G62" s="32">
        <v>550</v>
      </c>
      <c r="H62" s="7"/>
      <c r="I62" s="15"/>
    </row>
    <row r="63" spans="2:9">
      <c r="B63" s="2">
        <v>7142</v>
      </c>
      <c r="C63" s="2" t="s">
        <v>109</v>
      </c>
      <c r="D63" s="9">
        <v>1250</v>
      </c>
      <c r="E63" s="26">
        <v>1199.75</v>
      </c>
      <c r="F63" s="32">
        <v>1199.75</v>
      </c>
      <c r="G63" s="32">
        <v>1250</v>
      </c>
      <c r="H63" s="7"/>
      <c r="I63" s="15"/>
    </row>
    <row r="64" spans="2:9" ht="15">
      <c r="B64" s="2" t="s">
        <v>40</v>
      </c>
      <c r="C64" s="2" t="s">
        <v>41</v>
      </c>
      <c r="D64" s="33">
        <v>6000</v>
      </c>
      <c r="E64" s="27">
        <v>1179.99</v>
      </c>
      <c r="F64" s="34">
        <v>3500</v>
      </c>
      <c r="G64" s="34">
        <v>6000</v>
      </c>
      <c r="H64" s="7"/>
      <c r="I64" s="15"/>
    </row>
    <row r="65" spans="2:9">
      <c r="B65" s="2"/>
      <c r="C65" s="4" t="s">
        <v>84</v>
      </c>
      <c r="D65" s="10">
        <v>32600</v>
      </c>
      <c r="E65" s="25">
        <f>SUM(E53:E64)</f>
        <v>17812.060000000001</v>
      </c>
      <c r="F65" s="42">
        <f>SUM(F53:F64)</f>
        <v>31039.75</v>
      </c>
      <c r="G65" s="42">
        <f>SUM(G53:G64)</f>
        <v>28350</v>
      </c>
      <c r="H65" s="7"/>
      <c r="I65" s="15"/>
    </row>
    <row r="66" spans="2:9">
      <c r="B66" s="2"/>
      <c r="C66" s="4"/>
      <c r="D66" s="10"/>
      <c r="E66" s="8"/>
      <c r="F66" s="32"/>
      <c r="G66" s="32"/>
      <c r="H66" s="7"/>
      <c r="I66" s="15"/>
    </row>
    <row r="67" spans="2:9">
      <c r="B67" s="2" t="s">
        <v>42</v>
      </c>
      <c r="C67" s="1" t="s">
        <v>110</v>
      </c>
      <c r="D67" s="32">
        <v>1000</v>
      </c>
      <c r="E67" s="8">
        <v>324.42</v>
      </c>
      <c r="F67" s="32">
        <v>500</v>
      </c>
      <c r="G67" s="32">
        <v>1000</v>
      </c>
      <c r="H67" s="7"/>
      <c r="I67" s="15"/>
    </row>
    <row r="68" spans="2:9">
      <c r="B68" s="2">
        <v>7146</v>
      </c>
      <c r="C68" s="1" t="s">
        <v>117</v>
      </c>
      <c r="D68" s="41">
        <v>210</v>
      </c>
      <c r="E68" s="12">
        <v>179.6</v>
      </c>
      <c r="F68" s="32">
        <v>200</v>
      </c>
      <c r="G68" s="32">
        <v>210</v>
      </c>
      <c r="H68" s="7"/>
      <c r="I68" s="15"/>
    </row>
    <row r="69" spans="2:9" ht="15">
      <c r="B69" s="2"/>
      <c r="C69" s="1" t="s">
        <v>127</v>
      </c>
      <c r="D69" s="34">
        <v>100</v>
      </c>
      <c r="E69" s="27">
        <v>0</v>
      </c>
      <c r="F69" s="34">
        <v>0</v>
      </c>
      <c r="G69" s="34">
        <v>350</v>
      </c>
      <c r="H69" s="7"/>
      <c r="I69" s="15"/>
    </row>
    <row r="70" spans="2:9">
      <c r="B70" s="2"/>
      <c r="C70" s="4" t="s">
        <v>85</v>
      </c>
      <c r="D70" s="10">
        <v>1210</v>
      </c>
      <c r="E70" s="11">
        <f>SUM(E67:E69)</f>
        <v>504.02</v>
      </c>
      <c r="F70" s="42">
        <f>SUM(F67:F68)</f>
        <v>700</v>
      </c>
      <c r="G70" s="42">
        <f>SUM(G67:G69)</f>
        <v>1560</v>
      </c>
      <c r="H70" s="7"/>
      <c r="I70" s="15"/>
    </row>
    <row r="71" spans="2:9">
      <c r="B71" s="2"/>
      <c r="C71" s="4"/>
      <c r="D71" s="10"/>
      <c r="E71" s="8"/>
      <c r="F71" s="32"/>
      <c r="G71" s="32"/>
      <c r="H71" s="7"/>
      <c r="I71" s="15"/>
    </row>
    <row r="72" spans="2:9">
      <c r="B72" s="2" t="s">
        <v>45</v>
      </c>
      <c r="C72" s="2" t="s">
        <v>46</v>
      </c>
      <c r="D72" s="9">
        <v>1000</v>
      </c>
      <c r="E72" s="8">
        <v>247.5</v>
      </c>
      <c r="F72" s="32">
        <v>500</v>
      </c>
      <c r="G72" s="32">
        <v>500</v>
      </c>
      <c r="H72" s="7"/>
      <c r="I72" s="15"/>
    </row>
    <row r="73" spans="2:9" ht="15">
      <c r="B73" s="2" t="s">
        <v>47</v>
      </c>
      <c r="C73" s="2" t="s">
        <v>48</v>
      </c>
      <c r="D73" s="33">
        <v>4000</v>
      </c>
      <c r="E73" s="13">
        <v>2789.46</v>
      </c>
      <c r="F73" s="34">
        <v>4000</v>
      </c>
      <c r="G73" s="34">
        <v>4000</v>
      </c>
      <c r="H73" s="7"/>
      <c r="I73" s="15"/>
    </row>
    <row r="74" spans="2:9">
      <c r="B74" s="2" t="s">
        <v>49</v>
      </c>
      <c r="C74" s="4" t="s">
        <v>86</v>
      </c>
      <c r="D74" s="10">
        <f>SUM(D72:D73)</f>
        <v>5000</v>
      </c>
      <c r="E74" s="14">
        <f>SUM(E72:E73)</f>
        <v>3036.96</v>
      </c>
      <c r="F74" s="42">
        <f>SUM(F72:F73)</f>
        <v>4500</v>
      </c>
      <c r="G74" s="42">
        <f>SUM(G72:G73)</f>
        <v>4500</v>
      </c>
      <c r="H74" s="7"/>
      <c r="I74" s="15"/>
    </row>
    <row r="75" spans="2:9">
      <c r="B75" s="2"/>
      <c r="C75" s="5" t="s">
        <v>97</v>
      </c>
      <c r="D75" s="10"/>
      <c r="E75" s="14">
        <v>0</v>
      </c>
      <c r="F75" s="42">
        <v>34320</v>
      </c>
      <c r="G75" s="42"/>
      <c r="H75" s="7"/>
      <c r="I75" s="15"/>
    </row>
    <row r="76" spans="2:9">
      <c r="B76" s="2"/>
      <c r="C76" s="4"/>
      <c r="D76" s="10"/>
      <c r="E76" s="8"/>
      <c r="F76" s="32"/>
      <c r="G76" s="32"/>
      <c r="H76" s="7"/>
      <c r="I76" s="15"/>
    </row>
    <row r="77" spans="2:9">
      <c r="B77" s="2" t="s">
        <v>50</v>
      </c>
      <c r="C77" s="4" t="s">
        <v>89</v>
      </c>
      <c r="D77" s="10">
        <v>7000</v>
      </c>
      <c r="E77" s="25">
        <v>4520.45</v>
      </c>
      <c r="F77" s="42">
        <v>6000</v>
      </c>
      <c r="G77" s="42">
        <v>7000</v>
      </c>
      <c r="H77" s="7"/>
      <c r="I77" s="15"/>
    </row>
    <row r="78" spans="2:9">
      <c r="B78" s="2"/>
      <c r="C78" s="4"/>
      <c r="D78" s="10"/>
      <c r="E78" s="26"/>
      <c r="F78" s="32"/>
      <c r="G78" s="32"/>
      <c r="H78" s="7"/>
      <c r="I78" s="15"/>
    </row>
    <row r="79" spans="2:9">
      <c r="B79" s="2">
        <v>7160</v>
      </c>
      <c r="C79" s="2" t="s">
        <v>115</v>
      </c>
      <c r="D79" s="9">
        <v>150</v>
      </c>
      <c r="E79" s="26">
        <v>0</v>
      </c>
      <c r="F79" s="32">
        <v>150</v>
      </c>
      <c r="G79" s="32">
        <v>150</v>
      </c>
      <c r="H79" s="7"/>
      <c r="I79" s="15"/>
    </row>
    <row r="80" spans="2:9" ht="15">
      <c r="B80" s="2">
        <v>7161</v>
      </c>
      <c r="C80" s="2" t="s">
        <v>116</v>
      </c>
      <c r="D80" s="33">
        <v>1000</v>
      </c>
      <c r="E80" s="13">
        <v>64.52</v>
      </c>
      <c r="F80" s="34">
        <v>1000</v>
      </c>
      <c r="G80" s="34">
        <v>1000</v>
      </c>
      <c r="H80" s="7"/>
      <c r="I80" s="15"/>
    </row>
    <row r="81" spans="2:9">
      <c r="B81" s="2"/>
      <c r="C81" s="4" t="s">
        <v>88</v>
      </c>
      <c r="D81" s="10">
        <v>1300</v>
      </c>
      <c r="E81" s="25">
        <f>SUM(E79:E80)</f>
        <v>64.52</v>
      </c>
      <c r="F81" s="42">
        <f>SUM(F79:F80)</f>
        <v>1150</v>
      </c>
      <c r="G81" s="42">
        <f>SUM(G79:G80)</f>
        <v>1150</v>
      </c>
      <c r="H81" s="28"/>
      <c r="I81" s="29"/>
    </row>
    <row r="82" spans="2:9">
      <c r="B82" s="2"/>
      <c r="C82" s="5"/>
      <c r="D82" s="10"/>
      <c r="E82" s="8"/>
      <c r="F82" s="32"/>
      <c r="G82" s="32"/>
      <c r="H82" s="7"/>
      <c r="I82" s="15"/>
    </row>
    <row r="83" spans="2:9">
      <c r="B83" s="2" t="s">
        <v>67</v>
      </c>
      <c r="C83" s="4" t="s">
        <v>68</v>
      </c>
      <c r="D83" s="10">
        <v>2500</v>
      </c>
      <c r="E83" s="25">
        <v>854.85</v>
      </c>
      <c r="F83" s="42">
        <v>1645.15</v>
      </c>
      <c r="G83" s="42">
        <v>2500</v>
      </c>
      <c r="H83" s="7"/>
      <c r="I83" s="15"/>
    </row>
    <row r="84" spans="2:9">
      <c r="B84" s="2"/>
      <c r="C84" s="2"/>
      <c r="D84" s="10"/>
      <c r="E84" s="8"/>
      <c r="F84" s="32"/>
      <c r="G84" s="32"/>
      <c r="H84" s="7"/>
      <c r="I84" s="15"/>
    </row>
    <row r="85" spans="2:9">
      <c r="B85" s="2"/>
      <c r="C85" s="2"/>
      <c r="D85" s="10"/>
      <c r="E85" s="38"/>
      <c r="F85" s="32"/>
      <c r="G85" s="32"/>
      <c r="H85" s="32"/>
      <c r="I85" s="15"/>
    </row>
    <row r="86" spans="2:9">
      <c r="B86" s="2"/>
      <c r="C86" s="2"/>
      <c r="D86" s="10"/>
      <c r="E86" s="8"/>
      <c r="F86" s="32"/>
      <c r="G86" s="32"/>
      <c r="H86" s="7"/>
      <c r="I86" s="15"/>
    </row>
    <row r="87" spans="2:9">
      <c r="B87" s="2">
        <v>7102</v>
      </c>
      <c r="C87" s="2" t="s">
        <v>103</v>
      </c>
      <c r="D87" s="9">
        <v>10000</v>
      </c>
      <c r="E87" s="26">
        <v>0</v>
      </c>
      <c r="F87" s="32">
        <v>0</v>
      </c>
      <c r="G87" s="32">
        <v>5000</v>
      </c>
      <c r="H87" s="7"/>
      <c r="I87" s="15"/>
    </row>
    <row r="88" spans="2:9">
      <c r="B88" s="2">
        <v>7103</v>
      </c>
      <c r="C88" s="2" t="s">
        <v>184</v>
      </c>
      <c r="D88" s="9">
        <v>0</v>
      </c>
      <c r="E88" s="38">
        <v>8192.5</v>
      </c>
      <c r="F88" s="32">
        <v>8192.5</v>
      </c>
      <c r="G88" s="32">
        <v>0</v>
      </c>
      <c r="H88" s="32"/>
      <c r="I88" s="15"/>
    </row>
    <row r="89" spans="2:9">
      <c r="B89" s="2">
        <v>7105</v>
      </c>
      <c r="C89" s="2" t="s">
        <v>188</v>
      </c>
      <c r="D89" s="9">
        <v>0</v>
      </c>
      <c r="E89" s="38">
        <v>0</v>
      </c>
      <c r="F89" s="32">
        <v>12250</v>
      </c>
      <c r="G89" s="32">
        <v>15000</v>
      </c>
      <c r="H89" s="32"/>
      <c r="I89" s="15"/>
    </row>
    <row r="90" spans="2:9">
      <c r="B90" s="2" t="s">
        <v>43</v>
      </c>
      <c r="C90" s="2" t="s">
        <v>44</v>
      </c>
      <c r="D90" s="9">
        <v>1000</v>
      </c>
      <c r="E90" s="26">
        <v>1825.27</v>
      </c>
      <c r="F90" s="32">
        <v>2200</v>
      </c>
      <c r="G90" s="32">
        <v>2000</v>
      </c>
      <c r="H90" s="7"/>
      <c r="I90" s="15"/>
    </row>
    <row r="91" spans="2:9">
      <c r="B91" s="2" t="s">
        <v>51</v>
      </c>
      <c r="C91" s="2" t="s">
        <v>52</v>
      </c>
      <c r="D91" s="9">
        <v>1760</v>
      </c>
      <c r="E91" s="26">
        <v>1143.58</v>
      </c>
      <c r="F91" s="32">
        <v>1760</v>
      </c>
      <c r="G91" s="32">
        <v>1830</v>
      </c>
      <c r="H91" s="7"/>
      <c r="I91" s="15"/>
    </row>
    <row r="92" spans="2:9">
      <c r="B92" s="2" t="s">
        <v>53</v>
      </c>
      <c r="C92" s="2" t="s">
        <v>54</v>
      </c>
      <c r="D92" s="9">
        <v>250</v>
      </c>
      <c r="E92" s="26">
        <v>0</v>
      </c>
      <c r="F92" s="32">
        <v>100</v>
      </c>
      <c r="G92" s="32">
        <v>250</v>
      </c>
      <c r="H92" s="7"/>
      <c r="I92" s="15"/>
    </row>
    <row r="93" spans="2:9">
      <c r="B93" s="2" t="s">
        <v>55</v>
      </c>
      <c r="C93" s="2" t="s">
        <v>56</v>
      </c>
      <c r="D93" s="9">
        <v>1500</v>
      </c>
      <c r="E93" s="26">
        <v>966.56</v>
      </c>
      <c r="F93" s="32">
        <v>1300</v>
      </c>
      <c r="G93" s="32">
        <v>1500</v>
      </c>
      <c r="H93" s="7"/>
      <c r="I93" s="15"/>
    </row>
    <row r="94" spans="2:9">
      <c r="B94" s="2" t="s">
        <v>57</v>
      </c>
      <c r="C94" s="2" t="s">
        <v>58</v>
      </c>
      <c r="D94" s="9">
        <v>300</v>
      </c>
      <c r="E94" s="26">
        <v>75.44</v>
      </c>
      <c r="F94" s="32">
        <v>150</v>
      </c>
      <c r="G94" s="32">
        <v>300</v>
      </c>
      <c r="H94" s="7"/>
      <c r="I94" s="15"/>
    </row>
    <row r="95" spans="2:9">
      <c r="B95" s="2" t="s">
        <v>59</v>
      </c>
      <c r="C95" s="2" t="s">
        <v>60</v>
      </c>
      <c r="D95" s="9">
        <v>1500</v>
      </c>
      <c r="E95" s="26">
        <v>554.62</v>
      </c>
      <c r="F95" s="32">
        <v>900</v>
      </c>
      <c r="G95" s="32">
        <v>1000</v>
      </c>
      <c r="H95" s="7"/>
      <c r="I95" s="15"/>
    </row>
    <row r="96" spans="2:9">
      <c r="B96" s="24">
        <v>7173</v>
      </c>
      <c r="C96" s="1" t="s">
        <v>104</v>
      </c>
      <c r="D96" s="32">
        <v>500</v>
      </c>
      <c r="E96" s="26">
        <v>265.99</v>
      </c>
      <c r="F96" s="32">
        <v>350</v>
      </c>
      <c r="G96" s="32">
        <v>400</v>
      </c>
      <c r="H96" s="7"/>
      <c r="I96" s="15"/>
    </row>
    <row r="97" spans="2:9">
      <c r="B97" s="2" t="s">
        <v>61</v>
      </c>
      <c r="C97" s="2" t="s">
        <v>62</v>
      </c>
      <c r="D97" s="9">
        <v>240</v>
      </c>
      <c r="E97" s="26">
        <v>180</v>
      </c>
      <c r="F97" s="32">
        <v>240</v>
      </c>
      <c r="G97" s="32">
        <v>240</v>
      </c>
      <c r="H97" s="7"/>
      <c r="I97" s="15"/>
    </row>
    <row r="98" spans="2:9">
      <c r="B98" s="2" t="s">
        <v>63</v>
      </c>
      <c r="C98" s="2" t="s">
        <v>64</v>
      </c>
      <c r="D98" s="9">
        <v>250</v>
      </c>
      <c r="E98" s="26">
        <v>157.5</v>
      </c>
      <c r="F98" s="32">
        <v>200</v>
      </c>
      <c r="G98" s="32">
        <v>250</v>
      </c>
      <c r="H98" s="7"/>
      <c r="I98" s="15"/>
    </row>
    <row r="99" spans="2:9">
      <c r="B99" s="2" t="s">
        <v>65</v>
      </c>
      <c r="C99" s="2" t="s">
        <v>66</v>
      </c>
      <c r="D99" s="9">
        <v>100</v>
      </c>
      <c r="E99" s="26">
        <v>69.39</v>
      </c>
      <c r="F99" s="32">
        <v>150</v>
      </c>
      <c r="G99" s="32">
        <v>150</v>
      </c>
      <c r="H99" s="7"/>
      <c r="I99" s="15"/>
    </row>
    <row r="100" spans="2:9">
      <c r="B100" s="2">
        <v>7179</v>
      </c>
      <c r="C100" s="2" t="s">
        <v>120</v>
      </c>
      <c r="D100" s="9">
        <v>300</v>
      </c>
      <c r="E100" s="26">
        <v>0</v>
      </c>
      <c r="F100" s="32">
        <v>100</v>
      </c>
      <c r="G100" s="32">
        <v>300</v>
      </c>
      <c r="H100" s="7"/>
      <c r="I100" s="15"/>
    </row>
    <row r="101" spans="2:9">
      <c r="B101" s="2" t="s">
        <v>69</v>
      </c>
      <c r="C101" s="2" t="s">
        <v>70</v>
      </c>
      <c r="D101" s="9">
        <v>100</v>
      </c>
      <c r="E101" s="26">
        <v>61.2</v>
      </c>
      <c r="F101" s="32">
        <v>85</v>
      </c>
      <c r="G101" s="32">
        <v>85</v>
      </c>
      <c r="H101" s="7"/>
      <c r="I101" s="15"/>
    </row>
    <row r="102" spans="2:9">
      <c r="B102" s="2">
        <v>7181</v>
      </c>
      <c r="C102" s="2" t="s">
        <v>105</v>
      </c>
      <c r="D102" s="9">
        <v>2900</v>
      </c>
      <c r="E102" s="26">
        <v>3200.9</v>
      </c>
      <c r="F102" s="32">
        <v>3200.9</v>
      </c>
      <c r="G102" s="32">
        <v>3500</v>
      </c>
      <c r="H102" s="7"/>
      <c r="I102" s="15"/>
    </row>
    <row r="103" spans="2:9">
      <c r="B103" s="2">
        <v>7182</v>
      </c>
      <c r="C103" s="2" t="s">
        <v>100</v>
      </c>
      <c r="D103" s="9">
        <v>10</v>
      </c>
      <c r="E103" s="26">
        <v>0</v>
      </c>
      <c r="F103" s="32">
        <v>0</v>
      </c>
      <c r="G103" s="32">
        <v>10</v>
      </c>
    </row>
    <row r="104" spans="2:9">
      <c r="B104" s="2" t="s">
        <v>71</v>
      </c>
      <c r="C104" s="2" t="s">
        <v>72</v>
      </c>
      <c r="D104" s="9">
        <v>900</v>
      </c>
      <c r="E104" s="26">
        <v>924.3</v>
      </c>
      <c r="F104" s="32">
        <v>924.3</v>
      </c>
      <c r="G104" s="32">
        <v>900</v>
      </c>
    </row>
    <row r="105" spans="2:9">
      <c r="B105" s="2" t="s">
        <v>73</v>
      </c>
      <c r="C105" s="2" t="s">
        <v>74</v>
      </c>
      <c r="D105" s="9">
        <v>25500</v>
      </c>
      <c r="E105" s="26">
        <v>18495.04</v>
      </c>
      <c r="F105" s="32">
        <v>24691</v>
      </c>
      <c r="G105" s="32">
        <v>26000</v>
      </c>
      <c r="H105" s="7"/>
      <c r="I105" s="15"/>
    </row>
    <row r="106" spans="2:9">
      <c r="B106" s="2" t="s">
        <v>75</v>
      </c>
      <c r="C106" s="2" t="s">
        <v>76</v>
      </c>
      <c r="D106" s="9">
        <v>10000</v>
      </c>
      <c r="E106" s="26">
        <v>7498.81</v>
      </c>
      <c r="F106" s="32">
        <v>10019</v>
      </c>
      <c r="G106" s="32">
        <v>10400</v>
      </c>
      <c r="H106" s="7"/>
      <c r="I106" s="15"/>
    </row>
    <row r="107" spans="2:9">
      <c r="B107" s="2" t="s">
        <v>77</v>
      </c>
      <c r="C107" s="2" t="s">
        <v>78</v>
      </c>
      <c r="D107" s="9">
        <v>10000</v>
      </c>
      <c r="E107" s="26">
        <v>8902.6299999999992</v>
      </c>
      <c r="F107" s="32">
        <v>11887.24</v>
      </c>
      <c r="G107" s="32">
        <v>13000</v>
      </c>
      <c r="H107" s="7"/>
      <c r="I107" s="15"/>
    </row>
    <row r="108" spans="2:9">
      <c r="B108" s="2" t="s">
        <v>79</v>
      </c>
      <c r="C108" s="2" t="s">
        <v>80</v>
      </c>
      <c r="D108" s="9">
        <v>600</v>
      </c>
      <c r="E108" s="12">
        <v>450</v>
      </c>
      <c r="F108" s="32">
        <v>600</v>
      </c>
      <c r="G108" s="32">
        <v>600</v>
      </c>
      <c r="H108" s="7"/>
      <c r="I108" s="15"/>
    </row>
    <row r="109" spans="2:9" ht="15">
      <c r="B109" s="2"/>
      <c r="C109" s="2" t="s">
        <v>99</v>
      </c>
      <c r="D109" s="33">
        <v>1000</v>
      </c>
      <c r="E109" s="27">
        <v>0</v>
      </c>
      <c r="F109" s="34">
        <v>0</v>
      </c>
      <c r="G109" s="34">
        <v>1000</v>
      </c>
    </row>
    <row r="110" spans="2:9">
      <c r="C110" s="6" t="s">
        <v>87</v>
      </c>
      <c r="D110" s="11">
        <f>SUM(D87:D109)</f>
        <v>68710</v>
      </c>
      <c r="E110" s="11">
        <f>SUM(E87:E109)</f>
        <v>52963.729999999996</v>
      </c>
      <c r="F110" s="42">
        <f>SUM(F87:F109)</f>
        <v>79299.94</v>
      </c>
      <c r="G110" s="42">
        <f>SUM(G87:G109)</f>
        <v>83715</v>
      </c>
      <c r="H110" s="7"/>
      <c r="I110" s="15"/>
    </row>
    <row r="111" spans="2:9">
      <c r="C111" s="6"/>
      <c r="D111" s="7"/>
      <c r="E111" s="7"/>
      <c r="F111" s="7"/>
      <c r="G111" s="7"/>
      <c r="H111" s="7"/>
      <c r="I111" s="15"/>
    </row>
    <row r="112" spans="2:9">
      <c r="D112" s="11"/>
      <c r="E112" s="7"/>
      <c r="G112" s="7"/>
      <c r="H112" s="7"/>
      <c r="I112" s="15"/>
    </row>
    <row r="113" spans="3:7">
      <c r="C113" s="6" t="s">
        <v>96</v>
      </c>
      <c r="D113" s="11">
        <f>D110+D83+D81+D77+D74+D70+D65+D51+D46</f>
        <v>143110</v>
      </c>
      <c r="E113" s="11">
        <f>E110+E83+E81+E77+E74+E70+E65+E51+E46+28614.32</f>
        <v>124404.96999999997</v>
      </c>
      <c r="F113" s="11">
        <f>F110+F83+F81+F77+F74+F70+F65+F51+F46</f>
        <v>145844.38999999998</v>
      </c>
      <c r="G113" s="11">
        <f>G110+G83+G81+G77+G74+G70+G65+G51+G46</f>
        <v>155885</v>
      </c>
    </row>
    <row r="114" spans="3:7">
      <c r="D114" s="11"/>
      <c r="E114" s="7"/>
    </row>
    <row r="115" spans="3:7">
      <c r="D115" s="11"/>
      <c r="E115" s="7"/>
    </row>
    <row r="116" spans="3:7">
      <c r="D116" s="11"/>
      <c r="E116" s="7"/>
    </row>
    <row r="117" spans="3:7">
      <c r="D117" s="66" t="s">
        <v>170</v>
      </c>
      <c r="E117" s="67" t="s">
        <v>98</v>
      </c>
      <c r="F117" s="68" t="s">
        <v>171</v>
      </c>
    </row>
    <row r="118" spans="3:7">
      <c r="C118" s="59" t="s">
        <v>169</v>
      </c>
      <c r="D118" s="65">
        <v>66762.23</v>
      </c>
      <c r="E118" s="63">
        <v>95919.28</v>
      </c>
      <c r="F118" s="32">
        <f>SUM(D118:E118)</f>
        <v>162681.51</v>
      </c>
    </row>
    <row r="119" spans="3:7">
      <c r="C119" s="59" t="s">
        <v>172</v>
      </c>
      <c r="D119" s="41">
        <f>F32</f>
        <v>128540.15</v>
      </c>
      <c r="E119" s="32"/>
    </row>
    <row r="120" spans="3:7">
      <c r="C120" s="59" t="s">
        <v>189</v>
      </c>
      <c r="D120" s="41">
        <f>F113</f>
        <v>145844.38999999998</v>
      </c>
      <c r="E120" s="32">
        <f>F75</f>
        <v>34320</v>
      </c>
      <c r="F120" s="32">
        <f>SUM(D120:E120)</f>
        <v>180164.38999999998</v>
      </c>
    </row>
    <row r="121" spans="3:7">
      <c r="C121" s="60"/>
      <c r="D121" s="64"/>
      <c r="E121" s="32"/>
    </row>
    <row r="122" spans="3:7">
      <c r="C122" s="61" t="s">
        <v>173</v>
      </c>
      <c r="D122" s="64">
        <f>SUM(D118:D119)-D120</f>
        <v>49457.99000000002</v>
      </c>
      <c r="E122" s="64">
        <f>SUM(E118:E119)-E120</f>
        <v>61599.28</v>
      </c>
      <c r="F122" s="42">
        <f>SUM(D122:E122)</f>
        <v>111057.27000000002</v>
      </c>
    </row>
    <row r="123" spans="3:7">
      <c r="C123" s="61"/>
      <c r="D123" s="64"/>
      <c r="E123" s="32"/>
    </row>
    <row r="124" spans="3:7">
      <c r="C124" s="69" t="s">
        <v>190</v>
      </c>
      <c r="D124" s="64"/>
      <c r="E124" s="32"/>
    </row>
    <row r="125" spans="3:7">
      <c r="C125" s="62" t="s">
        <v>191</v>
      </c>
      <c r="D125" s="32">
        <f>D122</f>
        <v>49457.99000000002</v>
      </c>
      <c r="E125" s="32">
        <f t="shared" ref="E125:F125" si="0">E122</f>
        <v>61599.28</v>
      </c>
      <c r="F125" s="32">
        <f t="shared" si="0"/>
        <v>111057.27000000002</v>
      </c>
    </row>
    <row r="126" spans="3:7">
      <c r="C126" s="62" t="s">
        <v>192</v>
      </c>
      <c r="D126" s="7">
        <f>G32</f>
        <v>135862.15</v>
      </c>
      <c r="E126" s="7">
        <v>0</v>
      </c>
      <c r="F126" s="32">
        <f>SUM(D126:E126)</f>
        <v>135862.15</v>
      </c>
    </row>
    <row r="127" spans="3:7">
      <c r="C127" s="62" t="s">
        <v>193</v>
      </c>
      <c r="D127" s="7">
        <f>G113</f>
        <v>155885</v>
      </c>
      <c r="E127" s="7">
        <f>G75</f>
        <v>0</v>
      </c>
      <c r="F127" s="32">
        <f>SUM(D127:E127)</f>
        <v>155885</v>
      </c>
    </row>
    <row r="128" spans="3:7">
      <c r="C128" s="62"/>
      <c r="D128" s="7"/>
      <c r="E128" s="7"/>
    </row>
    <row r="129" spans="3:6">
      <c r="C129" s="62" t="s">
        <v>194</v>
      </c>
      <c r="D129" s="11">
        <f>SUM(D125:D126)-D127</f>
        <v>29435.140000000014</v>
      </c>
      <c r="E129" s="11">
        <f>SUM(E125:E126)-E127</f>
        <v>61599.28</v>
      </c>
      <c r="F129" s="42">
        <f>SUM(D129:E129)</f>
        <v>91034.420000000013</v>
      </c>
    </row>
    <row r="130" spans="3:6">
      <c r="C130" s="62"/>
      <c r="D130" s="11"/>
      <c r="E130" s="7"/>
    </row>
    <row r="131" spans="3:6">
      <c r="C131" s="62"/>
      <c r="D131" s="11"/>
      <c r="E131" s="7"/>
    </row>
    <row r="132" spans="3:6">
      <c r="D132" s="7"/>
      <c r="E132" s="7"/>
    </row>
    <row r="133" spans="3:6">
      <c r="C133" s="6"/>
      <c r="D133" s="11"/>
      <c r="E133" s="11"/>
    </row>
    <row r="136" spans="3:6">
      <c r="E136" s="7"/>
    </row>
  </sheetData>
  <pageMargins left="0.7" right="0.7" top="0.75" bottom="0.75" header="0.3" footer="0.3"/>
  <pageSetup paperSize="9" scale="65" fitToHeight="0" orientation="portrait" horizontalDpi="4294967293" verticalDpi="0" r:id="rId1"/>
  <headerFooter>
    <oddHeader>&amp;CWrotham Parish Council
Budget Requirement 2022-2023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6D6DD-1494-484D-803F-52D93733C0CF}">
  <dimension ref="A1:F39"/>
  <sheetViews>
    <sheetView workbookViewId="0">
      <selection activeCell="D34" sqref="D34"/>
    </sheetView>
  </sheetViews>
  <sheetFormatPr defaultRowHeight="15"/>
  <cols>
    <col min="1" max="1" width="32.7109375" customWidth="1"/>
    <col min="4" max="4" width="18.7109375" customWidth="1"/>
    <col min="6" max="6" width="12.5703125" bestFit="1" customWidth="1"/>
  </cols>
  <sheetData>
    <row r="1" spans="1:6">
      <c r="A1" s="44" t="s">
        <v>138</v>
      </c>
      <c r="B1" s="44"/>
      <c r="C1" s="44"/>
      <c r="D1" s="44"/>
      <c r="E1" s="44"/>
      <c r="F1" s="44"/>
    </row>
    <row r="2" spans="1:6">
      <c r="A2" s="44" t="s">
        <v>139</v>
      </c>
      <c r="B2" s="44"/>
      <c r="C2" s="44"/>
      <c r="D2" s="44"/>
      <c r="E2" s="44"/>
      <c r="F2" s="44"/>
    </row>
    <row r="3" spans="1:6">
      <c r="A3" s="44"/>
      <c r="B3" s="44"/>
      <c r="C3" s="44"/>
      <c r="D3" s="44"/>
      <c r="E3" s="44"/>
      <c r="F3" s="44"/>
    </row>
    <row r="4" spans="1:6" ht="15.75">
      <c r="A4" s="71" t="s">
        <v>140</v>
      </c>
      <c r="B4" s="71"/>
      <c r="C4" s="71"/>
      <c r="D4" s="71"/>
      <c r="E4" s="71"/>
      <c r="F4" s="71"/>
    </row>
    <row r="5" spans="1:6">
      <c r="A5" s="19" t="s">
        <v>141</v>
      </c>
      <c r="B5" s="44"/>
      <c r="C5" s="44"/>
      <c r="D5" s="44"/>
      <c r="E5" s="44"/>
      <c r="F5" s="44"/>
    </row>
    <row r="6" spans="1:6">
      <c r="A6" s="72" t="s">
        <v>196</v>
      </c>
      <c r="B6" s="72"/>
      <c r="C6" s="72"/>
      <c r="D6" s="72"/>
      <c r="E6" s="72"/>
      <c r="F6" s="44"/>
    </row>
    <row r="7" spans="1:6">
      <c r="A7" s="20"/>
      <c r="B7" s="20"/>
      <c r="C7" s="20"/>
      <c r="D7" s="20"/>
      <c r="E7" s="45"/>
      <c r="F7" s="46"/>
    </row>
    <row r="8" spans="1:6">
      <c r="A8" s="47" t="s">
        <v>142</v>
      </c>
      <c r="B8" s="18"/>
      <c r="C8" s="18"/>
      <c r="D8" s="48"/>
      <c r="E8" s="18"/>
      <c r="F8" s="18"/>
    </row>
    <row r="9" spans="1:6">
      <c r="A9" s="47" t="s">
        <v>143</v>
      </c>
      <c r="B9" s="18"/>
      <c r="C9" s="18"/>
      <c r="D9" s="48">
        <f>'Income &amp; Expenditure Estimates'!G70</f>
        <v>1560</v>
      </c>
      <c r="E9" s="18"/>
      <c r="F9" s="44"/>
    </row>
    <row r="10" spans="1:6">
      <c r="A10" s="47" t="s">
        <v>88</v>
      </c>
      <c r="B10" s="18"/>
      <c r="C10" s="18"/>
      <c r="D10" s="48">
        <f>'Income &amp; Expenditure Estimates'!G81</f>
        <v>1150</v>
      </c>
      <c r="E10" s="18"/>
      <c r="F10" s="44"/>
    </row>
    <row r="11" spans="1:6">
      <c r="A11" s="47" t="s">
        <v>144</v>
      </c>
      <c r="B11" s="18"/>
      <c r="C11" s="18"/>
      <c r="D11" s="48">
        <f>'Income &amp; Expenditure Estimates'!G65</f>
        <v>28350</v>
      </c>
      <c r="E11" s="18"/>
      <c r="F11" s="44"/>
    </row>
    <row r="12" spans="1:6">
      <c r="A12" s="47" t="s">
        <v>145</v>
      </c>
      <c r="B12" s="18"/>
      <c r="C12" s="18"/>
      <c r="D12" s="48">
        <f>'Income &amp; Expenditure Estimates'!G83</f>
        <v>2500</v>
      </c>
      <c r="E12" s="18"/>
      <c r="F12" s="44"/>
    </row>
    <row r="13" spans="1:6">
      <c r="A13" s="47" t="s">
        <v>146</v>
      </c>
      <c r="B13" s="18"/>
      <c r="C13" s="18"/>
      <c r="D13" s="48">
        <f>'Income &amp; Expenditure Estimates'!G46</f>
        <v>15360</v>
      </c>
      <c r="E13" s="18"/>
      <c r="F13" s="18"/>
    </row>
    <row r="14" spans="1:6">
      <c r="A14" s="47" t="s">
        <v>147</v>
      </c>
      <c r="B14" s="18"/>
      <c r="C14" s="18"/>
      <c r="D14" s="48">
        <f>'Income &amp; Expenditure Estimates'!G51</f>
        <v>11750</v>
      </c>
      <c r="E14" s="18"/>
      <c r="F14" s="44"/>
    </row>
    <row r="15" spans="1:6">
      <c r="A15" s="47" t="s">
        <v>148</v>
      </c>
      <c r="B15" s="18"/>
      <c r="C15" s="18"/>
      <c r="D15" s="48">
        <f>'Income &amp; Expenditure Estimates'!G74</f>
        <v>4500</v>
      </c>
      <c r="E15" s="18"/>
      <c r="F15" s="44"/>
    </row>
    <row r="16" spans="1:6">
      <c r="A16" s="47" t="s">
        <v>149</v>
      </c>
      <c r="B16" s="18"/>
      <c r="C16" s="18"/>
      <c r="D16" s="48">
        <v>0</v>
      </c>
      <c r="E16" s="18"/>
      <c r="F16" s="44"/>
    </row>
    <row r="17" spans="1:6">
      <c r="A17" s="47" t="s">
        <v>150</v>
      </c>
      <c r="B17" s="18"/>
      <c r="C17" s="18"/>
      <c r="D17" s="48">
        <f>'Income &amp; Expenditure Estimates'!G110</f>
        <v>83715</v>
      </c>
      <c r="E17" s="48"/>
      <c r="F17" s="49"/>
    </row>
    <row r="18" spans="1:6">
      <c r="A18" s="47" t="s">
        <v>89</v>
      </c>
      <c r="B18" s="18"/>
      <c r="C18" s="18"/>
      <c r="D18" s="48">
        <f>'Income &amp; Expenditure Estimates'!G77</f>
        <v>7000</v>
      </c>
      <c r="E18" s="48"/>
      <c r="F18" s="49"/>
    </row>
    <row r="19" spans="1:6">
      <c r="A19" s="47" t="s">
        <v>151</v>
      </c>
      <c r="B19" s="18"/>
      <c r="C19" s="18"/>
      <c r="D19" s="48">
        <f>'[1]Income &amp; Expenditure'!L33</f>
        <v>0</v>
      </c>
      <c r="E19" s="18"/>
      <c r="F19" s="44"/>
    </row>
    <row r="20" spans="1:6">
      <c r="A20" s="47"/>
      <c r="B20" s="18"/>
      <c r="C20" s="18"/>
      <c r="D20" s="48"/>
      <c r="E20" s="18"/>
      <c r="F20" s="44"/>
    </row>
    <row r="21" spans="1:6">
      <c r="A21" s="50" t="s">
        <v>152</v>
      </c>
      <c r="B21" s="18"/>
      <c r="C21" s="18"/>
      <c r="D21" s="48">
        <f>SUM(D9:D19)</f>
        <v>155885</v>
      </c>
      <c r="E21" s="18"/>
      <c r="F21" s="44"/>
    </row>
    <row r="22" spans="1:6">
      <c r="A22" s="50"/>
      <c r="B22" s="18"/>
      <c r="C22" s="18"/>
      <c r="D22" s="48"/>
      <c r="E22" s="18"/>
      <c r="F22" s="44"/>
    </row>
    <row r="23" spans="1:6">
      <c r="A23" s="47" t="s">
        <v>153</v>
      </c>
      <c r="B23" s="18"/>
      <c r="C23" s="18"/>
      <c r="D23" s="48"/>
      <c r="E23" s="18"/>
      <c r="F23" s="18"/>
    </row>
    <row r="24" spans="1:6">
      <c r="A24" s="47"/>
      <c r="B24" s="18"/>
      <c r="C24" s="18"/>
      <c r="D24" s="48"/>
      <c r="E24" s="18"/>
      <c r="F24" s="18"/>
    </row>
    <row r="25" spans="1:6">
      <c r="A25" s="47" t="s">
        <v>154</v>
      </c>
      <c r="B25" s="18"/>
      <c r="C25" s="18"/>
      <c r="D25" s="48"/>
      <c r="E25" s="18"/>
      <c r="F25" s="44"/>
    </row>
    <row r="26" spans="1:6">
      <c r="A26" s="47" t="s">
        <v>94</v>
      </c>
      <c r="B26" s="18"/>
      <c r="C26" s="18"/>
      <c r="D26" s="48">
        <f>'Income &amp; Expenditure Estimates'!G28</f>
        <v>40</v>
      </c>
      <c r="E26" s="18"/>
      <c r="F26" s="44"/>
    </row>
    <row r="27" spans="1:6">
      <c r="A27" s="47" t="s">
        <v>112</v>
      </c>
      <c r="B27" s="18"/>
      <c r="C27" s="18"/>
      <c r="D27" s="48">
        <f>'Income &amp; Expenditure Estimates'!G29</f>
        <v>1.1499999999999999</v>
      </c>
      <c r="E27" s="18"/>
      <c r="F27" s="44"/>
    </row>
    <row r="28" spans="1:6">
      <c r="A28" s="47" t="s">
        <v>85</v>
      </c>
      <c r="B28" s="18"/>
      <c r="C28" s="18"/>
      <c r="D28" s="48">
        <f>'Income &amp; Expenditure Estimates'!G20</f>
        <v>950</v>
      </c>
      <c r="E28" s="18"/>
      <c r="F28" s="44"/>
    </row>
    <row r="29" spans="1:6">
      <c r="A29" s="47" t="s">
        <v>155</v>
      </c>
      <c r="B29" s="18"/>
      <c r="C29" s="18"/>
      <c r="D29" s="48">
        <f>'Income &amp; Expenditure Estimates'!G9</f>
        <v>2000</v>
      </c>
      <c r="E29" s="18"/>
      <c r="F29" s="44"/>
    </row>
    <row r="30" spans="1:6">
      <c r="A30" s="47" t="s">
        <v>156</v>
      </c>
      <c r="B30" s="18"/>
      <c r="C30" s="18"/>
      <c r="D30" s="48">
        <f>'Income &amp; Expenditure Estimates'!G6</f>
        <v>12000</v>
      </c>
      <c r="E30" s="18"/>
      <c r="F30" s="44"/>
    </row>
    <row r="31" spans="1:6">
      <c r="A31" s="47" t="s">
        <v>157</v>
      </c>
      <c r="B31" s="18"/>
      <c r="C31" s="18"/>
      <c r="D31" s="48">
        <f>'Income &amp; Expenditure Estimates'!G15</f>
        <v>6000</v>
      </c>
      <c r="E31" s="18"/>
      <c r="F31" s="44"/>
    </row>
    <row r="32" spans="1:6">
      <c r="A32" s="47" t="s">
        <v>185</v>
      </c>
      <c r="B32" s="18"/>
      <c r="C32" s="18"/>
      <c r="D32" s="48">
        <f>'Income &amp; Expenditure Estimates'!G22</f>
        <v>1000</v>
      </c>
      <c r="E32" s="18"/>
      <c r="F32" s="44"/>
    </row>
    <row r="33" spans="1:6">
      <c r="A33" s="47" t="s">
        <v>90</v>
      </c>
      <c r="B33" s="18"/>
      <c r="C33" s="18"/>
      <c r="D33" s="48">
        <v>19022.849999999999</v>
      </c>
      <c r="E33" s="18"/>
      <c r="F33" s="44"/>
    </row>
    <row r="34" spans="1:6">
      <c r="A34" s="47"/>
      <c r="B34" s="18"/>
      <c r="C34" s="18"/>
      <c r="D34" s="48"/>
      <c r="E34" s="47"/>
      <c r="F34" s="49"/>
    </row>
    <row r="35" spans="1:6">
      <c r="A35" s="47" t="s">
        <v>158</v>
      </c>
      <c r="B35" s="18"/>
      <c r="C35" s="18"/>
      <c r="D35" s="51">
        <f>D21-SUM(D24:D33)</f>
        <v>114871</v>
      </c>
      <c r="E35" s="51"/>
      <c r="F35" s="52"/>
    </row>
    <row r="36" spans="1:6">
      <c r="A36" s="47"/>
      <c r="B36" s="18"/>
      <c r="C36" s="18"/>
      <c r="D36" s="18"/>
      <c r="E36" s="18"/>
      <c r="F36" s="44"/>
    </row>
    <row r="37" spans="1:6">
      <c r="A37" s="47"/>
      <c r="B37" s="18"/>
      <c r="C37" s="18"/>
      <c r="D37" s="48"/>
      <c r="E37" s="18"/>
      <c r="F37" s="44"/>
    </row>
    <row r="39" spans="1:6">
      <c r="D39" s="58"/>
    </row>
  </sheetData>
  <mergeCells count="2">
    <mergeCell ref="A4:F4"/>
    <mergeCell ref="A6:E6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E8A147-22C4-4537-B8F4-0ADD7A33F6B6}">
  <sheetPr>
    <pageSetUpPr fitToPage="1"/>
  </sheetPr>
  <dimension ref="A1:K26"/>
  <sheetViews>
    <sheetView workbookViewId="0">
      <selection activeCell="D15" sqref="D15:F27"/>
    </sheetView>
  </sheetViews>
  <sheetFormatPr defaultRowHeight="15"/>
  <sheetData>
    <row r="1" spans="1:11">
      <c r="A1" s="21" t="s">
        <v>159</v>
      </c>
      <c r="B1" s="44"/>
      <c r="C1" s="44"/>
      <c r="D1" s="21" t="s">
        <v>160</v>
      </c>
      <c r="E1" s="44"/>
      <c r="F1" s="44"/>
      <c r="G1" s="21" t="s">
        <v>111</v>
      </c>
      <c r="H1" s="21"/>
      <c r="J1" s="21" t="s">
        <v>175</v>
      </c>
      <c r="K1" s="21"/>
    </row>
    <row r="2" spans="1:11">
      <c r="A2" s="44"/>
      <c r="B2" s="44"/>
      <c r="C2" s="44"/>
      <c r="D2" s="44"/>
      <c r="E2" s="44"/>
      <c r="F2" s="44"/>
      <c r="G2" s="44"/>
      <c r="H2" s="44"/>
      <c r="J2" s="44"/>
      <c r="K2" s="44"/>
    </row>
    <row r="3" spans="1:11">
      <c r="A3" s="52">
        <v>86950</v>
      </c>
      <c r="B3" s="53"/>
      <c r="C3" s="44"/>
      <c r="D3" s="54">
        <v>94294</v>
      </c>
      <c r="E3" s="53">
        <v>0.05</v>
      </c>
      <c r="F3" s="44"/>
      <c r="G3" s="55">
        <v>101797</v>
      </c>
      <c r="H3" s="53">
        <v>0.05</v>
      </c>
      <c r="J3" s="55">
        <v>108276</v>
      </c>
      <c r="K3" s="53">
        <v>0.05</v>
      </c>
    </row>
    <row r="4" spans="1:11">
      <c r="A4" s="44"/>
      <c r="B4" s="56"/>
      <c r="C4" s="44"/>
      <c r="D4" s="44"/>
      <c r="E4" s="44"/>
      <c r="F4" s="44"/>
      <c r="G4" s="44"/>
      <c r="H4" s="44"/>
      <c r="J4" s="44"/>
      <c r="K4" s="44"/>
    </row>
    <row r="5" spans="1:11">
      <c r="A5" s="44" t="s">
        <v>161</v>
      </c>
      <c r="B5" s="56">
        <f>A3/891.32/9*6</f>
        <v>65.034630286167328</v>
      </c>
      <c r="C5" s="44"/>
      <c r="D5" s="44" t="s">
        <v>161</v>
      </c>
      <c r="E5" s="56">
        <f>D3/920.59/9*6</f>
        <v>68.285193915496222</v>
      </c>
      <c r="F5" s="44"/>
      <c r="G5" s="44" t="s">
        <v>161</v>
      </c>
      <c r="H5" s="56">
        <f>G3/946.5/9*6</f>
        <v>71.700651523155486</v>
      </c>
      <c r="J5" s="44" t="s">
        <v>161</v>
      </c>
      <c r="K5" s="56">
        <f>J3/958.81/9*6</f>
        <v>75.284988683889409</v>
      </c>
    </row>
    <row r="6" spans="1:11">
      <c r="A6" s="44" t="s">
        <v>162</v>
      </c>
      <c r="B6" s="56">
        <f>A3/891.32/9*7</f>
        <v>75.873735333861873</v>
      </c>
      <c r="C6" s="44"/>
      <c r="D6" s="44" t="s">
        <v>162</v>
      </c>
      <c r="E6" s="56">
        <f>D3/920.59/9*7</f>
        <v>79.666059568078936</v>
      </c>
      <c r="F6" s="44"/>
      <c r="G6" s="44" t="s">
        <v>162</v>
      </c>
      <c r="H6" s="56">
        <f>G3/946.5/9*7</f>
        <v>83.650760110348074</v>
      </c>
      <c r="J6" s="44" t="s">
        <v>162</v>
      </c>
      <c r="K6" s="56">
        <f>J3/958.81/9*7</f>
        <v>87.832486797870985</v>
      </c>
    </row>
    <row r="7" spans="1:11">
      <c r="A7" s="44" t="s">
        <v>163</v>
      </c>
      <c r="B7" s="56">
        <f>A3/891.32/9*8</f>
        <v>86.712840381556433</v>
      </c>
      <c r="C7" s="44"/>
      <c r="D7" s="44" t="s">
        <v>163</v>
      </c>
      <c r="E7" s="56">
        <f>D3/920.59/9*8</f>
        <v>91.046925220661635</v>
      </c>
      <c r="F7" s="44"/>
      <c r="G7" s="44" t="s">
        <v>163</v>
      </c>
      <c r="H7" s="56">
        <f>G3/946.5/9*8</f>
        <v>95.600868697540648</v>
      </c>
      <c r="J7" s="44" t="s">
        <v>163</v>
      </c>
      <c r="K7" s="56">
        <f>J3/958.81/9*8</f>
        <v>100.37998491185255</v>
      </c>
    </row>
    <row r="8" spans="1:11">
      <c r="A8" s="44" t="s">
        <v>164</v>
      </c>
      <c r="B8" s="56">
        <f>A3/891.32</f>
        <v>97.551945429250992</v>
      </c>
      <c r="C8" s="44"/>
      <c r="D8" s="44" t="s">
        <v>164</v>
      </c>
      <c r="E8" s="56">
        <f>D3/920.59</f>
        <v>102.42779087324433</v>
      </c>
      <c r="F8" s="44"/>
      <c r="G8" s="44" t="s">
        <v>164</v>
      </c>
      <c r="H8" s="56">
        <f>G3/946.5</f>
        <v>107.55097728473322</v>
      </c>
      <c r="J8" s="44" t="s">
        <v>164</v>
      </c>
      <c r="K8" s="56">
        <f>J3/958.81</f>
        <v>112.92748302583411</v>
      </c>
    </row>
    <row r="9" spans="1:11">
      <c r="A9" s="44" t="s">
        <v>165</v>
      </c>
      <c r="B9" s="56">
        <f>A3/891.32/9*11</f>
        <v>119.2301555246401</v>
      </c>
      <c r="C9" s="44"/>
      <c r="D9" s="44" t="s">
        <v>165</v>
      </c>
      <c r="E9" s="56">
        <f>D3/920.59/9*11</f>
        <v>125.18952217840975</v>
      </c>
      <c r="F9" s="44"/>
      <c r="G9" s="44" t="s">
        <v>165</v>
      </c>
      <c r="H9" s="56">
        <f>G3/946.5/9*11</f>
        <v>131.4511944591184</v>
      </c>
      <c r="J9" s="44" t="s">
        <v>165</v>
      </c>
      <c r="K9" s="56">
        <f>J3/958.81/9*11</f>
        <v>138.02247925379726</v>
      </c>
    </row>
    <row r="10" spans="1:11">
      <c r="A10" s="44" t="s">
        <v>166</v>
      </c>
      <c r="B10" s="56">
        <f>A3/891.32/9*13</f>
        <v>140.9083656200292</v>
      </c>
      <c r="C10" s="44"/>
      <c r="D10" s="44" t="s">
        <v>166</v>
      </c>
      <c r="E10" s="56">
        <f>D3/920.59/9*13</f>
        <v>147.95125348357516</v>
      </c>
      <c r="F10" s="44"/>
      <c r="G10" s="44" t="s">
        <v>166</v>
      </c>
      <c r="H10" s="56">
        <f>G3/946.5/9*13</f>
        <v>155.35141163350355</v>
      </c>
      <c r="J10" s="44" t="s">
        <v>166</v>
      </c>
      <c r="K10" s="56">
        <f>J3/958.81/9*13</f>
        <v>163.11747548176038</v>
      </c>
    </row>
    <row r="11" spans="1:11">
      <c r="A11" s="44" t="s">
        <v>167</v>
      </c>
      <c r="B11" s="56">
        <f>A3/891.32/9*15</f>
        <v>162.58657571541832</v>
      </c>
      <c r="C11" s="44"/>
      <c r="D11" s="44" t="s">
        <v>167</v>
      </c>
      <c r="E11" s="56">
        <f>D3/920.59/9*15</f>
        <v>170.71298478874056</v>
      </c>
      <c r="F11" s="44"/>
      <c r="G11" s="44" t="s">
        <v>167</v>
      </c>
      <c r="H11" s="56">
        <f>G3/946.5/9*15</f>
        <v>179.25162880788872</v>
      </c>
      <c r="J11" s="44" t="s">
        <v>167</v>
      </c>
      <c r="K11" s="56">
        <f>J3/958.81/9*15</f>
        <v>188.21247170972353</v>
      </c>
    </row>
    <row r="12" spans="1:11">
      <c r="A12" s="44" t="s">
        <v>168</v>
      </c>
      <c r="B12" s="56">
        <f>A3/891.32/9*18</f>
        <v>195.10389085850198</v>
      </c>
      <c r="C12" s="44"/>
      <c r="D12" s="44" t="s">
        <v>168</v>
      </c>
      <c r="E12" s="56">
        <f>D3/920.59/9*18</f>
        <v>204.85558174648867</v>
      </c>
      <c r="F12" s="44"/>
      <c r="G12" s="44" t="s">
        <v>168</v>
      </c>
      <c r="H12" s="56">
        <f>G3/946.5/9*18</f>
        <v>215.10195456946644</v>
      </c>
      <c r="J12" s="44" t="s">
        <v>168</v>
      </c>
      <c r="K12" s="56">
        <f>J3/958.81/9*18</f>
        <v>225.85496605166821</v>
      </c>
    </row>
    <row r="15" spans="1:11">
      <c r="A15" s="21" t="s">
        <v>195</v>
      </c>
      <c r="B15" s="21"/>
      <c r="D15" s="21"/>
      <c r="E15" s="21"/>
    </row>
    <row r="16" spans="1:11">
      <c r="A16" s="44"/>
      <c r="B16" s="44"/>
      <c r="D16" s="44"/>
      <c r="E16" s="44"/>
    </row>
    <row r="17" spans="1:5">
      <c r="A17" s="55">
        <v>114871</v>
      </c>
      <c r="B17" s="53">
        <v>0.05</v>
      </c>
      <c r="D17" s="55"/>
      <c r="E17" s="53"/>
    </row>
    <row r="18" spans="1:5">
      <c r="A18" s="44"/>
      <c r="B18" s="44"/>
      <c r="D18" s="44"/>
      <c r="E18" s="44"/>
    </row>
    <row r="19" spans="1:5">
      <c r="A19" s="44" t="s">
        <v>161</v>
      </c>
      <c r="B19" s="56">
        <f>A17/968.72/9*6</f>
        <v>79.053458859801253</v>
      </c>
      <c r="D19" s="44"/>
      <c r="E19" s="56"/>
    </row>
    <row r="20" spans="1:5">
      <c r="A20" s="44" t="s">
        <v>162</v>
      </c>
      <c r="B20" s="56">
        <f>A17/968.72/9*7</f>
        <v>92.229035336434791</v>
      </c>
      <c r="D20" s="44"/>
      <c r="E20" s="56"/>
    </row>
    <row r="21" spans="1:5">
      <c r="A21" s="44" t="s">
        <v>163</v>
      </c>
      <c r="B21" s="56">
        <f>A17/968.72/9*8</f>
        <v>105.40461181306833</v>
      </c>
      <c r="D21" s="44"/>
      <c r="E21" s="56"/>
    </row>
    <row r="22" spans="1:5">
      <c r="A22" s="44" t="s">
        <v>164</v>
      </c>
      <c r="B22" s="56">
        <f>A17/968.72</f>
        <v>118.58018828970187</v>
      </c>
      <c r="D22" s="44"/>
      <c r="E22" s="56"/>
    </row>
    <row r="23" spans="1:5">
      <c r="A23" s="44" t="s">
        <v>165</v>
      </c>
      <c r="B23" s="56">
        <f>A17/968.72/9*11</f>
        <v>144.93134124296895</v>
      </c>
      <c r="D23" s="44"/>
      <c r="E23" s="56"/>
    </row>
    <row r="24" spans="1:5">
      <c r="A24" s="44" t="s">
        <v>166</v>
      </c>
      <c r="B24" s="56">
        <f>A17/968.72/9*13</f>
        <v>171.28249419623603</v>
      </c>
      <c r="D24" s="44"/>
      <c r="E24" s="56"/>
    </row>
    <row r="25" spans="1:5">
      <c r="A25" s="44" t="s">
        <v>167</v>
      </c>
      <c r="B25" s="56">
        <f>A17/968.72/9*15</f>
        <v>197.6336471495031</v>
      </c>
      <c r="D25" s="44"/>
      <c r="E25" s="56"/>
    </row>
    <row r="26" spans="1:5">
      <c r="A26" s="44" t="s">
        <v>168</v>
      </c>
      <c r="B26" s="56">
        <f>A17/968.72/9*18</f>
        <v>237.16037657940373</v>
      </c>
      <c r="D26" s="44"/>
      <c r="E26" s="56"/>
    </row>
  </sheetData>
  <pageMargins left="0.7" right="0.7" top="0.75" bottom="0.75" header="0.3" footer="0.3"/>
  <pageSetup paperSize="9" scale="88" fitToHeight="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19566B-2FBD-4E31-822E-AA62FEF97624}">
  <dimension ref="A1:B27"/>
  <sheetViews>
    <sheetView tabSelected="1" workbookViewId="0">
      <selection activeCell="C31" sqref="C31"/>
    </sheetView>
  </sheetViews>
  <sheetFormatPr defaultRowHeight="15"/>
  <cols>
    <col min="1" max="1" width="37.85546875" customWidth="1"/>
    <col min="2" max="2" width="22.42578125" customWidth="1"/>
  </cols>
  <sheetData>
    <row r="1" spans="1:2">
      <c r="A1" s="6" t="s">
        <v>187</v>
      </c>
      <c r="B1" s="1"/>
    </row>
    <row r="2" spans="1:2">
      <c r="A2" s="1"/>
      <c r="B2" s="1"/>
    </row>
    <row r="3" spans="1:2">
      <c r="A3" s="1" t="s">
        <v>121</v>
      </c>
      <c r="B3" s="15">
        <v>750</v>
      </c>
    </row>
    <row r="4" spans="1:2">
      <c r="A4" s="1" t="s">
        <v>122</v>
      </c>
      <c r="B4" s="15">
        <v>50</v>
      </c>
    </row>
    <row r="5" spans="1:2">
      <c r="A5" s="1" t="s">
        <v>123</v>
      </c>
      <c r="B5" s="15">
        <v>270</v>
      </c>
    </row>
    <row r="6" spans="1:2">
      <c r="A6" s="1" t="s">
        <v>124</v>
      </c>
      <c r="B6" s="15">
        <v>20</v>
      </c>
    </row>
    <row r="7" spans="1:2">
      <c r="A7" s="1" t="s">
        <v>125</v>
      </c>
      <c r="B7" s="15">
        <v>320</v>
      </c>
    </row>
    <row r="8" spans="1:2">
      <c r="A8" s="1" t="s">
        <v>186</v>
      </c>
      <c r="B8" s="15">
        <v>70</v>
      </c>
    </row>
    <row r="9" spans="1:2">
      <c r="A9" s="1" t="s">
        <v>126</v>
      </c>
      <c r="B9" s="37">
        <v>350</v>
      </c>
    </row>
    <row r="10" spans="1:2">
      <c r="A10" s="1"/>
      <c r="B10" s="32">
        <f>SUM(B3:B9)</f>
        <v>1830</v>
      </c>
    </row>
    <row r="11" spans="1:2">
      <c r="A11" s="1"/>
      <c r="B11" s="1"/>
    </row>
    <row r="12" spans="1:2">
      <c r="A12" s="1"/>
      <c r="B12" s="1"/>
    </row>
    <row r="13" spans="1:2">
      <c r="A13" s="6" t="s">
        <v>128</v>
      </c>
      <c r="B13" s="1"/>
    </row>
    <row r="14" spans="1:2">
      <c r="A14" s="1"/>
      <c r="B14" s="1"/>
    </row>
    <row r="15" spans="1:2">
      <c r="A15" s="1" t="s">
        <v>129</v>
      </c>
      <c r="B15" s="1">
        <v>450</v>
      </c>
    </row>
    <row r="16" spans="1:2">
      <c r="A16" s="1" t="s">
        <v>130</v>
      </c>
      <c r="B16" s="1">
        <v>300</v>
      </c>
    </row>
    <row r="17" spans="1:2">
      <c r="A17" s="1" t="s">
        <v>131</v>
      </c>
      <c r="B17" s="1">
        <v>200</v>
      </c>
    </row>
    <row r="18" spans="1:2">
      <c r="A18" s="1" t="s">
        <v>132</v>
      </c>
      <c r="B18" s="1">
        <v>100</v>
      </c>
    </row>
    <row r="19" spans="1:2">
      <c r="A19" s="1" t="s">
        <v>197</v>
      </c>
      <c r="B19" s="1">
        <v>100</v>
      </c>
    </row>
    <row r="20" spans="1:2">
      <c r="A20" s="1" t="s">
        <v>174</v>
      </c>
      <c r="B20" s="1">
        <v>100</v>
      </c>
    </row>
    <row r="21" spans="1:2">
      <c r="A21" s="1" t="s">
        <v>133</v>
      </c>
      <c r="B21" s="1">
        <v>100</v>
      </c>
    </row>
    <row r="22" spans="1:2">
      <c r="A22" s="1" t="s">
        <v>134</v>
      </c>
      <c r="B22" s="1">
        <v>200</v>
      </c>
    </row>
    <row r="23" spans="1:2">
      <c r="A23" s="1" t="s">
        <v>135</v>
      </c>
      <c r="B23" s="1">
        <v>50</v>
      </c>
    </row>
    <row r="24" spans="1:2">
      <c r="A24" s="1" t="s">
        <v>136</v>
      </c>
      <c r="B24" s="1">
        <v>200</v>
      </c>
    </row>
    <row r="25" spans="1:2">
      <c r="A25" s="1" t="s">
        <v>137</v>
      </c>
      <c r="B25" s="43">
        <v>500</v>
      </c>
    </row>
    <row r="26" spans="1:2">
      <c r="A26" s="1"/>
      <c r="B26" s="32">
        <f>SUM(B15:B25)</f>
        <v>2300</v>
      </c>
    </row>
    <row r="27" spans="1:2">
      <c r="A27" s="1"/>
      <c r="B27" s="1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Income &amp; Expenditure Estimates</vt:lpstr>
      <vt:lpstr>Precept Increase 5%</vt:lpstr>
      <vt:lpstr>Tax Base</vt:lpstr>
      <vt:lpstr>Subscriptions &amp; Donations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Lesley Cox</cp:lastModifiedBy>
  <cp:lastPrinted>2021-12-23T13:30:51Z</cp:lastPrinted>
  <dcterms:created xsi:type="dcterms:W3CDTF">2020-06-16T13:13:26Z</dcterms:created>
  <dcterms:modified xsi:type="dcterms:W3CDTF">2022-01-06T12:23:04Z</dcterms:modified>
</cp:coreProperties>
</file>